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8_{956F7B2A-C49F-4B6B-9C23-DB06B51567D1}" xr6:coauthVersionLast="47" xr6:coauthVersionMax="47" xr10:uidLastSave="{00000000-0000-0000-0000-000000000000}"/>
  <bookViews>
    <workbookView xWindow="-120" yWindow="-120" windowWidth="29040" windowHeight="15840" xr2:uid="{E936361E-0279-4DA8-902D-5F8F9AB6CDA5}"/>
  </bookViews>
  <sheets>
    <sheet name="Summary Data" sheetId="5" r:id="rId1"/>
    <sheet name="Staffing Expenses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" l="1"/>
  <c r="G10" i="9" l="1"/>
  <c r="G9" i="9"/>
  <c r="G8" i="9"/>
  <c r="G7" i="9"/>
  <c r="G6" i="9"/>
  <c r="G5" i="9"/>
  <c r="G4" i="9"/>
  <c r="AJ12" i="8"/>
  <c r="AJ11" i="8"/>
  <c r="AJ9" i="8"/>
  <c r="AJ8" i="8"/>
  <c r="D8" i="7"/>
  <c r="A26" i="2"/>
  <c r="G7" i="7" l="1"/>
  <c r="K4" i="7"/>
  <c r="O30" i="7"/>
  <c r="AJ13" i="8" s="1"/>
  <c r="AK3" i="8"/>
  <c r="G11" i="5"/>
  <c r="G10" i="5"/>
  <c r="B26" i="2"/>
  <c r="C17" i="2"/>
  <c r="B17" i="2"/>
  <c r="A17" i="2"/>
  <c r="AJ7" i="8" l="1"/>
  <c r="AJ10" i="8"/>
  <c r="M7" i="8"/>
  <c r="M13" i="8"/>
  <c r="M12" i="8" l="1"/>
  <c r="M10" i="8" l="1"/>
  <c r="M9" i="8"/>
  <c r="M8" i="8"/>
  <c r="A9" i="2"/>
  <c r="D19" i="7" l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F17" i="2" s="1"/>
  <c r="I26" i="2" l="1"/>
  <c r="I17" i="2"/>
  <c r="J17" i="2" s="1"/>
  <c r="D29" i="7"/>
  <c r="H11" i="5"/>
  <c r="K17" i="2" l="1"/>
  <c r="L12" i="7" s="1"/>
  <c r="N13" i="8"/>
  <c r="N12" i="8"/>
  <c r="X12" i="8" s="1"/>
  <c r="Y12" i="8" s="1"/>
  <c r="N11" i="8"/>
  <c r="X11" i="8" s="1"/>
  <c r="Y11" i="8" s="1"/>
  <c r="N10" i="8"/>
  <c r="X10" i="8" s="1"/>
  <c r="Y10" i="8" s="1"/>
  <c r="N9" i="8"/>
  <c r="X9" i="8" s="1"/>
  <c r="Y9" i="8" s="1"/>
  <c r="N7" i="8"/>
  <c r="N8" i="8"/>
  <c r="X8" i="8" s="1"/>
  <c r="Y8" i="8" s="1"/>
  <c r="G4" i="7"/>
  <c r="X7" i="8" l="1"/>
  <c r="D18" i="7"/>
  <c r="X14" i="8"/>
  <c r="Y14" i="8" s="1"/>
  <c r="D7" i="7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14" i="8"/>
  <c r="F14" i="8"/>
  <c r="O12" i="8"/>
  <c r="O11" i="8"/>
  <c r="O10" i="8"/>
  <c r="O9" i="8"/>
  <c r="O8" i="8"/>
  <c r="O7" i="8"/>
  <c r="E20" i="7" l="1"/>
  <c r="E21" i="7" s="1"/>
  <c r="F18" i="7"/>
  <c r="F20" i="7" l="1"/>
  <c r="F21" i="7" s="1"/>
  <c r="G18" i="7"/>
  <c r="C9" i="2"/>
  <c r="H12" i="5"/>
  <c r="L10" i="7"/>
  <c r="E9" i="5"/>
  <c r="H9" i="5" s="1"/>
  <c r="L9" i="7" s="1"/>
  <c r="O9" i="7" s="1"/>
  <c r="L13" i="7" s="1"/>
  <c r="E41" i="5"/>
  <c r="H21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O10" i="7" l="1"/>
  <c r="L14" i="7" s="1"/>
  <c r="E26" i="2"/>
  <c r="F26" i="2" s="1"/>
  <c r="J26" i="2"/>
  <c r="K26" i="2" s="1"/>
  <c r="M17" i="2"/>
  <c r="M26" i="2"/>
  <c r="E22" i="7"/>
  <c r="H18" i="7"/>
  <c r="G20" i="7"/>
  <c r="G21" i="7" s="1"/>
  <c r="E22" i="5"/>
  <c r="L9" i="2"/>
  <c r="E23" i="5"/>
  <c r="E24" i="5"/>
  <c r="F41" i="5"/>
  <c r="H12" i="7" s="1"/>
  <c r="D26" i="7" s="1"/>
  <c r="H20" i="8"/>
  <c r="U13" i="8"/>
  <c r="AH13" i="8" s="1"/>
  <c r="U10" i="8"/>
  <c r="AH10" i="8" s="1"/>
  <c r="U11" i="8"/>
  <c r="AH11" i="8" s="1"/>
  <c r="U8" i="8"/>
  <c r="AH8" i="8" s="1"/>
  <c r="U9" i="8"/>
  <c r="AH9" i="8" s="1"/>
  <c r="U7" i="8"/>
  <c r="AH7" i="8" s="1"/>
  <c r="U12" i="8"/>
  <c r="AH12" i="8" s="1"/>
  <c r="H9" i="7"/>
  <c r="D23" i="7" s="1"/>
  <c r="F35" i="5"/>
  <c r="H18" i="8" s="1"/>
  <c r="D9" i="2"/>
  <c r="E20" i="5"/>
  <c r="E29" i="5"/>
  <c r="N26" i="2" l="1"/>
  <c r="O26" i="2" s="1"/>
  <c r="N17" i="2"/>
  <c r="O17" i="2" s="1"/>
  <c r="I9" i="2"/>
  <c r="J9" i="2" s="1"/>
  <c r="E9" i="2"/>
  <c r="F9" i="2" s="1"/>
  <c r="K9" i="2"/>
  <c r="L11" i="7" s="1"/>
  <c r="AC8" i="8"/>
  <c r="AC12" i="8"/>
  <c r="AC10" i="8"/>
  <c r="AC13" i="8"/>
  <c r="AC11" i="8"/>
  <c r="AC9" i="8"/>
  <c r="AC7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8" i="8"/>
  <c r="T11" i="8"/>
  <c r="T10" i="8"/>
  <c r="T7" i="8"/>
  <c r="T9" i="8"/>
  <c r="T12" i="8"/>
  <c r="T13" i="8"/>
  <c r="H10" i="7"/>
  <c r="D24" i="7" s="1"/>
  <c r="H19" i="8"/>
  <c r="Q9" i="8"/>
  <c r="Q10" i="8"/>
  <c r="Q8" i="8"/>
  <c r="Q13" i="8"/>
  <c r="Q12" i="8"/>
  <c r="Q11" i="8"/>
  <c r="Q7" i="8"/>
  <c r="M9" i="2"/>
  <c r="N9" i="2" s="1"/>
  <c r="O9" i="2" s="1"/>
  <c r="G17" i="5" l="1"/>
  <c r="G18" i="5"/>
  <c r="AG13" i="8"/>
  <c r="AB13" i="8"/>
  <c r="AG7" i="8"/>
  <c r="AB7" i="8"/>
  <c r="AE11" i="8"/>
  <c r="Z11" i="8"/>
  <c r="AE10" i="8"/>
  <c r="Z10" i="8"/>
  <c r="AG11" i="8"/>
  <c r="AB11" i="8"/>
  <c r="AE7" i="8"/>
  <c r="Z7" i="8"/>
  <c r="AE8" i="8"/>
  <c r="Z8" i="8"/>
  <c r="AG12" i="8"/>
  <c r="AB12" i="8"/>
  <c r="AG10" i="8"/>
  <c r="AB10" i="8"/>
  <c r="AE9" i="8"/>
  <c r="Z9" i="8"/>
  <c r="AE12" i="8"/>
  <c r="Z12" i="8"/>
  <c r="AE13" i="8"/>
  <c r="Z13" i="8"/>
  <c r="AG8" i="8"/>
  <c r="AB8" i="8"/>
  <c r="AG9" i="8"/>
  <c r="AB9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R7" i="8"/>
  <c r="R13" i="8"/>
  <c r="S13" i="8" s="1"/>
  <c r="R12" i="8"/>
  <c r="R11" i="8"/>
  <c r="R8" i="8"/>
  <c r="R10" i="8"/>
  <c r="R9" i="8"/>
  <c r="G24" i="5" l="1"/>
  <c r="H24" i="5" s="1"/>
  <c r="G23" i="5"/>
  <c r="H23" i="5" s="1"/>
  <c r="AF12" i="8"/>
  <c r="AA12" i="8"/>
  <c r="AF7" i="8"/>
  <c r="AA7" i="8"/>
  <c r="AF8" i="8"/>
  <c r="AA8" i="8"/>
  <c r="S9" i="8"/>
  <c r="AF9" i="8"/>
  <c r="AA9" i="8"/>
  <c r="AF11" i="8"/>
  <c r="AA11" i="8"/>
  <c r="AF10" i="8"/>
  <c r="AA10" i="8"/>
  <c r="AF13" i="8"/>
  <c r="AA13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8" i="8"/>
  <c r="S12" i="8"/>
  <c r="S10" i="8"/>
  <c r="S11" i="8"/>
  <c r="S7" i="8"/>
  <c r="K18" i="7"/>
  <c r="J20" i="7"/>
  <c r="J21" i="7" s="1"/>
  <c r="G16" i="5"/>
  <c r="G22" i="5" l="1"/>
  <c r="H22" i="5" s="1"/>
  <c r="H26" i="5" s="1"/>
  <c r="H22" i="8" s="1"/>
  <c r="O24" i="7"/>
  <c r="K20" i="7"/>
  <c r="K21" i="7" s="1"/>
  <c r="L18" i="7"/>
  <c r="H11" i="7" l="1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M18" i="7"/>
  <c r="L20" i="7"/>
  <c r="L21" i="7" s="1"/>
  <c r="V9" i="8"/>
  <c r="AI9" i="8" s="1"/>
  <c r="AL9" i="8" s="1"/>
  <c r="V8" i="8"/>
  <c r="AI8" i="8" s="1"/>
  <c r="AL8" i="8" s="1"/>
  <c r="V7" i="8"/>
  <c r="AI7" i="8" s="1"/>
  <c r="AL7" i="8" s="1"/>
  <c r="V13" i="8"/>
  <c r="AI13" i="8" s="1"/>
  <c r="AL13" i="8" s="1"/>
  <c r="V11" i="8"/>
  <c r="AI11" i="8" s="1"/>
  <c r="AL11" i="8" s="1"/>
  <c r="V10" i="8"/>
  <c r="AI10" i="8" s="1"/>
  <c r="AL10" i="8" s="1"/>
  <c r="V12" i="8"/>
  <c r="AI12" i="8" s="1"/>
  <c r="AL12" i="8" s="1"/>
  <c r="D27" i="7" l="1"/>
  <c r="D31" i="7" s="1"/>
  <c r="O25" i="7"/>
  <c r="O27" i="7" s="1"/>
  <c r="O31" i="7" s="1"/>
  <c r="AD10" i="8"/>
  <c r="AK10" i="8" s="1"/>
  <c r="W10" i="8"/>
  <c r="AD7" i="8"/>
  <c r="AK7" i="8" s="1"/>
  <c r="W7" i="8"/>
  <c r="AD9" i="8"/>
  <c r="AK9" i="8" s="1"/>
  <c r="W9" i="8"/>
  <c r="AD12" i="8"/>
  <c r="AK12" i="8" s="1"/>
  <c r="W12" i="8"/>
  <c r="AD8" i="8"/>
  <c r="AK8" i="8" s="1"/>
  <c r="W8" i="8"/>
  <c r="AD11" i="8"/>
  <c r="AK11" i="8" s="1"/>
  <c r="W11" i="8"/>
  <c r="AD13" i="8"/>
  <c r="AK13" i="8" s="1"/>
  <c r="W13" i="8"/>
  <c r="N18" i="7"/>
  <c r="M20" i="7"/>
  <c r="M21" i="7" s="1"/>
  <c r="E27" i="7"/>
  <c r="E31" i="7" l="1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O13" i="8"/>
  <c r="X13" i="8"/>
  <c r="Y13" i="8" l="1"/>
  <c r="W14" i="8" l="1"/>
  <c r="AK14" i="8"/>
  <c r="AL14" i="8" l="1"/>
</calcChain>
</file>

<file path=xl/sharedStrings.xml><?xml version="1.0" encoding="utf-8"?>
<sst xmlns="http://schemas.openxmlformats.org/spreadsheetml/2006/main" count="328" uniqueCount="266">
  <si>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</si>
  <si>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</si>
  <si>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</si>
  <si>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</si>
  <si>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</si>
  <si>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</si>
  <si>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</si>
  <si>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</si>
  <si>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</si>
  <si>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</si>
  <si>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</si>
  <si>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</si>
  <si>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</si>
  <si>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</si>
  <si>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</si>
  <si>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</si>
  <si>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</si>
  <si>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</si>
  <si>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</si>
  <si>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</si>
  <si>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</si>
  <si>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</si>
  <si>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</si>
  <si>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</si>
  <si>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</si>
  <si>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</si>
  <si>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</si>
  <si>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</si>
  <si>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</si>
  <si>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</si>
  <si>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</si>
  <si>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</si>
  <si>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</si>
  <si>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</si>
  <si>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</si>
  <si>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</si>
  <si>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</si>
  <si>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</si>
  <si>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</si>
  <si>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</si>
  <si>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</si>
  <si>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</si>
  <si>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</si>
  <si>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</si>
  <si>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</si>
  <si>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</si>
  <si>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</si>
  <si>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</si>
  <si>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</si>
  <si>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</si>
  <si>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</si>
  <si>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</si>
  <si>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</si>
  <si>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</si>
  <si>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</si>
  <si>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</si>
  <si>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</si>
  <si>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</si>
  <si>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</si>
  <si>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</si>
  <si>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B</t>
  </si>
  <si>
    <t>C</t>
  </si>
  <si>
    <t>D</t>
  </si>
  <si>
    <t>F</t>
  </si>
  <si>
    <t>G</t>
  </si>
  <si>
    <t>No floor plan for 1st floor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</si>
  <si>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</si>
  <si>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</si>
  <si>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</si>
  <si>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</si>
  <si>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</si>
  <si>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</si>
  <si>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</si>
  <si>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</si>
  <si>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</si>
  <si>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</si>
  <si>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</si>
  <si>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</si>
  <si>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</si>
  <si>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</si>
  <si>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</si>
  <si>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</si>
  <si>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</si>
  <si>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</si>
  <si>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</si>
  <si>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</si>
  <si>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</si>
  <si>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</si>
  <si>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</si>
  <si>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</si>
  <si>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Total Site Acreage converted to Square Footage</t>
  </si>
  <si>
    <t>CAMPUS GSF</t>
  </si>
  <si>
    <t>Science Center REPL: Built after 2018 Assessment - use Construction Hard Costs for 2021 then escalation 5% per annum</t>
  </si>
  <si>
    <t>Current Repair Cost</t>
  </si>
  <si>
    <t>Replacement Cost</t>
  </si>
  <si>
    <t xml:space="preserve">FCI  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</si>
  <si>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</si>
  <si>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</si>
  <si>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</si>
  <si>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</si>
  <si>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</si>
  <si>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</si>
  <si>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</si>
  <si>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</si>
  <si>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</si>
  <si>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</si>
  <si>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</si>
  <si>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</si>
  <si>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</si>
  <si>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</si>
  <si>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</si>
  <si>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</si>
  <si>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</si>
  <si>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</si>
  <si>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</si>
  <si>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</si>
  <si>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</si>
  <si>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</si>
  <si>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</si>
  <si>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</si>
  <si>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</si>
  <si>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</si>
  <si>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</si>
  <si>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</si>
  <si>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</si>
  <si>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</si>
  <si>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</si>
  <si>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</si>
  <si>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</si>
  <si>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</si>
  <si>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</si>
  <si>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</si>
  <si>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</si>
  <si>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</si>
  <si>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</si>
  <si>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</si>
  <si>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</si>
  <si>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</si>
  <si>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</si>
  <si>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</si>
  <si>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</si>
  <si>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</si>
  <si>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</si>
  <si>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</si>
  <si>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</si>
  <si>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</si>
  <si>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</si>
  <si>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</si>
  <si>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</si>
  <si>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</si>
  <si>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</si>
  <si>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</si>
  <si>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</si>
  <si>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</si>
  <si>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</si>
  <si>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</si>
  <si>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</si>
  <si>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</si>
  <si>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</si>
  <si>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</si>
  <si>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</si>
  <si>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</si>
  <si>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</si>
  <si>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</si>
  <si>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</si>
  <si>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</si>
  <si>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</si>
  <si>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</si>
  <si>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</si>
  <si>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</si>
  <si>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</si>
  <si>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</si>
  <si>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</si>
  <si>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</si>
  <si>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</si>
  <si>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</si>
  <si>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</si>
  <si>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</si>
  <si>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</si>
  <si>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</si>
  <si>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</si>
  <si>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</si>
  <si>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</si>
  <si>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Projected Site Cost = U + OM&amp;R + O + P</t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</si>
  <si>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</si>
  <si>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</si>
  <si>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</si>
  <si>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</si>
  <si>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</si>
  <si>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</si>
  <si>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</si>
  <si>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</si>
  <si>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</si>
  <si>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</si>
  <si>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</si>
  <si>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</si>
  <si>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</si>
  <si>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</si>
  <si>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</si>
  <si>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</si>
  <si>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</si>
  <si>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</si>
  <si>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</si>
  <si>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</si>
  <si>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</si>
  <si>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</si>
  <si>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</si>
  <si>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</si>
  <si>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CENTENNIAL EDUCATION CENTER</t>
  </si>
  <si>
    <t xml:space="preserve">A BUILDING </t>
  </si>
  <si>
    <t>B BUILDING</t>
  </si>
  <si>
    <t>C BUILDING - CHILD DEVELOPMENT CENTER</t>
  </si>
  <si>
    <t xml:space="preserve">D BUILDING </t>
  </si>
  <si>
    <t>E BUILDING</t>
  </si>
  <si>
    <t>F BUILDING</t>
  </si>
  <si>
    <t>G BUILDING</t>
  </si>
  <si>
    <t>Centennial Education Center</t>
  </si>
  <si>
    <t>SANTA ANA COLLEGE: CENTENNIAL EDUCATION CENTER</t>
  </si>
  <si>
    <t>Unkempt Neglect</t>
  </si>
  <si>
    <t>Custodian Salaries</t>
  </si>
  <si>
    <t>Maintenance Personnel Salaries</t>
  </si>
  <si>
    <t>Grounds Personnel Salaries</t>
  </si>
  <si>
    <t>Manager's Salaries</t>
  </si>
  <si>
    <t>Average Custodian Salaries per Square Foot of GSF</t>
  </si>
  <si>
    <t>Average Maintenance Salaries per Square Foot of GSF</t>
  </si>
  <si>
    <t>Average Grounds Salaries per Site Acreage (Grounds Only) in SQFT</t>
  </si>
  <si>
    <t>Average Manager's Salaries per Square Foot of GSF</t>
  </si>
  <si>
    <t>Average Expense per GSF +  Average Expense per Site Acreage in SQFT</t>
  </si>
  <si>
    <t>Average Expense Per Square Foot of GSF</t>
  </si>
  <si>
    <t>Average Expense Per Square Foot of Site Acreage in SQFT</t>
  </si>
  <si>
    <t>Conversion to Expense per SQ FT</t>
  </si>
  <si>
    <t>Fiscal Year Annualized Salaries of Custodians</t>
  </si>
  <si>
    <t>Fiscal Year Custodial Salaries per GSF</t>
  </si>
  <si>
    <t>Projected Increase or Decrease in Custodial Staffing Salaries</t>
  </si>
  <si>
    <t>Projected Total Salaries for Custodial Staffing</t>
  </si>
  <si>
    <t>To increase or decrease projected Maintenance Staff, use the yellow fillable box in the table below.</t>
  </si>
  <si>
    <t>CUSTODIAL STAFFING PROJECTIONS AND SALARIES</t>
  </si>
  <si>
    <t>MAINTENANCE STAFFING PROJECTIONS AND SALARIES</t>
  </si>
  <si>
    <t>GROUNDS STAFFING PROJECTIONS AND SALARIES</t>
  </si>
  <si>
    <r>
      <t xml:space="preserve">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</si>
  <si>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t>Fiscal Year Annualized Salaries for Maintenance Staff</t>
  </si>
  <si>
    <t>Fiscal Year Maintenance Staff Salaries per GSF</t>
  </si>
  <si>
    <t>Projected Increase or Decrease in Maintenance Staffing Salaries</t>
  </si>
  <si>
    <t>Projected Total Salaries for Maintenance Staffing</t>
  </si>
  <si>
    <t>Fiscal Year Annualized Salaries for Grounds Staff</t>
  </si>
  <si>
    <t>Fiscal Year Grounds Salaries per SQFT</t>
  </si>
  <si>
    <t>Projected Increase or Decrease in Grounds Staffing Salaries</t>
  </si>
  <si>
    <t>Projected Total Salaries for Grounds Staffing</t>
  </si>
  <si>
    <t xml:space="preserve"> Projected Maintenance and Operations Expenses (by Building) </t>
  </si>
  <si>
    <t xml:space="preserve">Sub Total Building Operating &amp; Repair Expenses </t>
  </si>
  <si>
    <t>Total Building Operating &amp; Repair Expenses</t>
  </si>
  <si>
    <t>Description of Expenses</t>
  </si>
  <si>
    <t>CAMPUSWIDE HISTORICAL &amp; PROJECTED EXPENSES</t>
  </si>
  <si>
    <t>Projected Expenses after
10 Years</t>
  </si>
  <si>
    <t>Projected Expenses after
20 Years</t>
  </si>
  <si>
    <t xml:space="preserve">     (E) is Present Value of Energy Expenses combined (Gas and Electricity) Average Expense per GSF </t>
  </si>
  <si>
    <t xml:space="preserve">     (W) is Present Value of Water Expenses per Site Acreage converted to sqft;  Avg. Expense per sqft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</si>
  <si>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</si>
  <si>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</si>
  <si>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</si>
  <si>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Developed by Facility Planning, Construction &amp; District Support Services at RSCCD</t>
  </si>
  <si>
    <t>Historical FY</t>
  </si>
  <si>
    <t>HISTORICAL FISCAL YEAR &amp; PROJECTED STAFFING WORKSHEET</t>
  </si>
  <si>
    <t>HISTORICAL FY</t>
  </si>
  <si>
    <t>Historical FY:</t>
  </si>
  <si>
    <t xml:space="preserve">
Historical
Fiscal Year
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</si>
</sst>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0" fillId="10" borderId="0" xfId="0" applyFill="1"/>
    <xf numFmtId="0" fontId="0" fillId="0" borderId="1" xfId="0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0" fillId="13" borderId="1" xfId="0" applyFill="1" applyBorder="1"/>
    <xf numFmtId="4" fontId="0" fillId="0" borderId="1" xfId="0" applyNumberFormat="1" applyBorder="1"/>
    <xf numFmtId="10" fontId="0" fillId="0" borderId="1" xfId="0" applyNumberFormat="1" applyBorder="1"/>
    <xf numFmtId="0" fontId="0" fillId="0" borderId="43" xfId="0" applyBorder="1"/>
    <xf numFmtId="0" fontId="1" fillId="0" borderId="1" xfId="0" applyFont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1" fillId="13" borderId="43" xfId="0" applyFont="1" applyFill="1" applyBorder="1"/>
    <xf numFmtId="0" fontId="1" fillId="13" borderId="27" xfId="0" applyFont="1" applyFill="1" applyBorder="1"/>
    <xf numFmtId="0" fontId="0" fillId="9" borderId="6" xfId="0" applyFill="1" applyBorder="1"/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167" fontId="19" fillId="17" borderId="1" xfId="0" applyNumberFormat="1" applyFont="1" applyFill="1" applyBorder="1" applyProtection="1">
      <protection hidden="1"/>
    </xf>
    <xf numFmtId="165" fontId="19" fillId="17" borderId="1" xfId="0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0" fontId="0" fillId="9" borderId="1" xfId="0" applyNumberFormat="1" applyFill="1" applyBorder="1" applyAlignment="1" applyProtection="1">
      <alignment horizontal="center"/>
      <protection hidden="1"/>
    </xf>
    <xf numFmtId="0" fontId="0" fillId="16" borderId="1" xfId="0" applyFill="1" applyBorder="1" applyAlignment="1" applyProtection="1">
      <alignment horizontal="center"/>
      <protection hidden="1"/>
    </xf>
    <xf numFmtId="0" fontId="0" fillId="16" borderId="1" xfId="0" applyFill="1" applyBorder="1" applyProtection="1">
      <protection hidden="1"/>
    </xf>
    <xf numFmtId="42" fontId="0" fillId="16" borderId="1" xfId="0" applyNumberFormat="1" applyFill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3" fontId="0" fillId="16" borderId="1" xfId="0" applyNumberForma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42" fontId="18" fillId="4" borderId="0" xfId="0" applyNumberFormat="1" applyFont="1" applyFill="1" applyProtection="1">
      <protection hidden="1"/>
    </xf>
    <xf numFmtId="44" fontId="0" fillId="4" borderId="0" xfId="0" applyNumberFormat="1" applyFill="1" applyProtection="1">
      <protection hidden="1"/>
    </xf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7" fontId="20" fillId="9" borderId="60" xfId="0" applyNumberFormat="1" applyFont="1" applyFill="1" applyBorder="1" applyProtection="1">
      <protection locked="0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5" fontId="19" fillId="0" borderId="1" xfId="0" applyNumberFormat="1" applyFont="1" applyBorder="1" applyProtection="1"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3" fontId="4" fillId="12" borderId="4" xfId="0" applyNumberFormat="1" applyFont="1" applyFill="1" applyBorder="1" applyAlignment="1" applyProtection="1">
      <alignment horizontal="right"/>
      <protection hidden="1"/>
    </xf>
    <xf numFmtId="0" fontId="0" fillId="0" borderId="1" xfId="0" applyBorder="1"/>
    <xf numFmtId="3" fontId="0" fillId="0" borderId="1" xfId="0" applyNumberFormat="1" applyBorder="1"/>
    <xf numFmtId="42" fontId="0" fillId="0" borderId="1" xfId="0" applyNumberFormat="1" applyBorder="1"/>
    <xf numFmtId="0" fontId="0" fillId="0" borderId="8" xfId="0" applyBorder="1"/>
    <xf numFmtId="3" fontId="0" fillId="0" borderId="8" xfId="0" applyNumberFormat="1" applyBorder="1"/>
    <xf numFmtId="42" fontId="0" fillId="0" borderId="8" xfId="0" applyNumberFormat="1" applyBorder="1"/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20" fillId="0" borderId="29" xfId="0" applyFont="1" applyBorder="1" applyAlignment="1">
      <alignment horizontal="left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12" borderId="4" xfId="0" applyFill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4" fillId="0" borderId="1" xfId="0" applyFont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1" fillId="13" borderId="1" xfId="0" applyFont="1" applyFill="1" applyBorder="1" applyAlignment="1">
      <alignment horizontal="left" wrapText="1"/>
    </xf>
    <xf numFmtId="0" fontId="35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3" fontId="3" fillId="13" borderId="4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37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37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 codeName="Sheet1">
    <pageSetUpPr fitToPage="1"/>
  </sheetPr>
  <dimension ref="A1:J43"/>
  <sheetViews>
    <sheetView tabSelected="1" topLeftCell="A8" zoomScale="85" zoomScaleNormal="85" workbookViewId="0">
      <selection activeCell="A43" sqref="A43:E43"/>
    </sheetView>
  </sheetViews>
  <sheetFormatPr defaultRowHeight="15"/>
  <cols>
    <col min="1" max="1" width="9.42578125" customWidth="1"/>
    <col min="2" max="2" width="61.28515625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309" t="s">
        <v>216</v>
      </c>
      <c r="B1" s="310"/>
      <c r="C1" s="260" t="s">
        <v>199</v>
      </c>
      <c r="D1" s="20" t="s">
        <v>28</v>
      </c>
      <c r="E1" s="248"/>
      <c r="F1" s="43"/>
      <c r="G1" s="116" t="s">
        <v>104</v>
      </c>
    </row>
    <row r="2" spans="1:10">
      <c r="A2" s="311" t="s">
        <v>188</v>
      </c>
      <c r="B2" s="312"/>
      <c r="C2" s="312"/>
      <c r="D2" s="312"/>
      <c r="E2" s="313"/>
      <c r="F2" s="33"/>
      <c r="G2" s="117"/>
      <c r="J2" t="s">
        <v>28</v>
      </c>
    </row>
    <row r="3" spans="1:10" ht="15.75" thickBot="1">
      <c r="A3" s="249"/>
      <c r="B3" s="243" t="s">
        <v>113</v>
      </c>
      <c r="C3" s="243"/>
      <c r="D3" s="243"/>
      <c r="E3" s="115">
        <v>50214</v>
      </c>
      <c r="F3" s="33"/>
      <c r="G3" s="117"/>
      <c r="J3" t="s">
        <v>189</v>
      </c>
    </row>
    <row r="4" spans="1:10" ht="15.75" thickBot="1">
      <c r="A4" s="249"/>
      <c r="B4" s="243" t="s">
        <v>114</v>
      </c>
      <c r="C4" s="243"/>
      <c r="D4" s="243"/>
      <c r="E4" s="12">
        <v>41168</v>
      </c>
      <c r="F4" s="33"/>
      <c r="G4" s="117"/>
      <c r="H4" t="s">
        <v>38</v>
      </c>
      <c r="J4" t="s">
        <v>190</v>
      </c>
    </row>
    <row r="5" spans="1:10" ht="15.75" thickBot="1">
      <c r="A5" s="249"/>
      <c r="B5" s="243" t="s">
        <v>144</v>
      </c>
      <c r="C5" s="243"/>
      <c r="D5" s="243"/>
      <c r="E5" s="13">
        <v>2.6</v>
      </c>
      <c r="F5" s="33"/>
      <c r="G5" s="117"/>
      <c r="J5" t="s">
        <v>191</v>
      </c>
    </row>
    <row r="6" spans="1:10">
      <c r="A6" s="249"/>
      <c r="B6" s="243" t="s">
        <v>90</v>
      </c>
      <c r="C6" s="243"/>
      <c r="D6" s="243"/>
      <c r="E6" s="179">
        <f>SUM(E5*43560)</f>
        <v>113256</v>
      </c>
      <c r="F6" s="33"/>
      <c r="G6" s="117"/>
      <c r="J6" t="s">
        <v>192</v>
      </c>
    </row>
    <row r="7" spans="1:10">
      <c r="A7" s="249"/>
      <c r="B7" s="243" t="s">
        <v>112</v>
      </c>
      <c r="C7" s="243"/>
      <c r="D7" s="243"/>
      <c r="E7" s="180">
        <f>SUM(E6-E3)</f>
        <v>63042</v>
      </c>
      <c r="F7" s="33"/>
      <c r="G7" s="117"/>
      <c r="J7" t="s">
        <v>193</v>
      </c>
    </row>
    <row r="8" spans="1:10" ht="15.75" thickBot="1">
      <c r="A8" s="249"/>
      <c r="B8" s="243"/>
      <c r="C8" s="250" t="s">
        <v>19</v>
      </c>
      <c r="D8" s="250" t="s">
        <v>20</v>
      </c>
      <c r="E8" s="251" t="s">
        <v>107</v>
      </c>
      <c r="F8" s="33"/>
      <c r="G8" s="117"/>
      <c r="J8" t="s">
        <v>194</v>
      </c>
    </row>
    <row r="9" spans="1:10" ht="15.75" thickBot="1">
      <c r="A9" s="249"/>
      <c r="B9" s="243" t="s">
        <v>21</v>
      </c>
      <c r="C9" s="11">
        <v>1</v>
      </c>
      <c r="D9" s="11">
        <v>0</v>
      </c>
      <c r="E9" s="183">
        <f>SUM(C9+D9*0.5)</f>
        <v>1</v>
      </c>
      <c r="G9" s="117">
        <f>'Staffing Expenses'!$H$9</f>
        <v>0</v>
      </c>
      <c r="H9" s="117">
        <f>SUM(E9:G9)</f>
        <v>1</v>
      </c>
      <c r="J9" t="s">
        <v>195</v>
      </c>
    </row>
    <row r="10" spans="1:10" ht="15.75" thickBot="1">
      <c r="A10" s="249"/>
      <c r="B10" s="243" t="s">
        <v>22</v>
      </c>
      <c r="C10" s="11">
        <v>0</v>
      </c>
      <c r="D10" s="11">
        <v>0</v>
      </c>
      <c r="E10" s="183">
        <f>SUM(C10+D10*0.5)</f>
        <v>0</v>
      </c>
      <c r="F10" s="33"/>
      <c r="G10" s="117">
        <f>'Staffing Expenses'!$H$17</f>
        <v>0</v>
      </c>
      <c r="H10" s="117">
        <f>SUM(E10:G10)</f>
        <v>0</v>
      </c>
      <c r="J10" t="s">
        <v>196</v>
      </c>
    </row>
    <row r="11" spans="1:10" ht="15.75" thickBot="1">
      <c r="A11" s="249"/>
      <c r="B11" s="243" t="s">
        <v>23</v>
      </c>
      <c r="C11" s="11">
        <v>0</v>
      </c>
      <c r="D11" s="11">
        <v>0</v>
      </c>
      <c r="E11" s="183">
        <f>SUM(C11+D11*0.5)</f>
        <v>0</v>
      </c>
      <c r="F11" s="33"/>
      <c r="G11" s="117">
        <f>'Staffing Expenses'!$H$26</f>
        <v>0</v>
      </c>
      <c r="H11" s="117">
        <f>SUM(E11:G11)</f>
        <v>0</v>
      </c>
      <c r="J11" t="s">
        <v>197</v>
      </c>
    </row>
    <row r="12" spans="1:10" ht="15.75" thickBot="1">
      <c r="A12" s="249"/>
      <c r="B12" s="243" t="s">
        <v>24</v>
      </c>
      <c r="C12" s="11">
        <v>0</v>
      </c>
      <c r="D12" s="11">
        <v>0</v>
      </c>
      <c r="E12" s="183">
        <f>SUM(C12+D12*0.5)</f>
        <v>0</v>
      </c>
      <c r="F12" s="33"/>
      <c r="G12" s="117"/>
      <c r="H12" s="117">
        <f>SUM(F12:G12)</f>
        <v>0</v>
      </c>
      <c r="J12" t="s">
        <v>198</v>
      </c>
    </row>
    <row r="13" spans="1:10">
      <c r="A13" s="249"/>
      <c r="B13" s="247" t="s">
        <v>26</v>
      </c>
      <c r="C13" s="181">
        <f>SUM(C9:C12)</f>
        <v>1</v>
      </c>
      <c r="D13" s="243"/>
      <c r="E13" s="252"/>
      <c r="G13" s="117"/>
    </row>
    <row r="14" spans="1:10">
      <c r="A14" s="249"/>
      <c r="B14" s="247" t="s">
        <v>27</v>
      </c>
      <c r="C14" s="243"/>
      <c r="D14" s="182">
        <f>SUM(D9:D13)</f>
        <v>0</v>
      </c>
      <c r="E14" s="252"/>
      <c r="G14" s="117"/>
    </row>
    <row r="15" spans="1:10" ht="15.75" thickBot="1">
      <c r="A15" s="249"/>
      <c r="B15" s="247"/>
      <c r="C15" s="250" t="s">
        <v>19</v>
      </c>
      <c r="D15" s="250" t="s">
        <v>20</v>
      </c>
      <c r="E15" s="253" t="s">
        <v>111</v>
      </c>
      <c r="G15" s="117"/>
    </row>
    <row r="16" spans="1:10">
      <c r="A16" s="249"/>
      <c r="B16" s="243" t="s">
        <v>219</v>
      </c>
      <c r="C16" s="14">
        <v>98154</v>
      </c>
      <c r="D16" s="294">
        <v>0</v>
      </c>
      <c r="E16" s="184">
        <f>SUM(C16:D16)</f>
        <v>98154</v>
      </c>
      <c r="F16" s="118"/>
      <c r="G16" s="119">
        <f>'Staffing Expenses'!$N$9</f>
        <v>0</v>
      </c>
      <c r="I16" s="46"/>
    </row>
    <row r="17" spans="1:8">
      <c r="A17" s="249"/>
      <c r="B17" s="243" t="s">
        <v>220</v>
      </c>
      <c r="C17" s="15">
        <v>0</v>
      </c>
      <c r="D17" s="16">
        <v>0</v>
      </c>
      <c r="E17" s="185">
        <f>SUM(C17:D17)</f>
        <v>0</v>
      </c>
      <c r="G17" s="119" t="str">
        <f>'Staffing Expenses'!$N$17</f>
        <v>Unknown</v>
      </c>
    </row>
    <row r="18" spans="1:8">
      <c r="A18" s="249"/>
      <c r="B18" s="243" t="s">
        <v>221</v>
      </c>
      <c r="C18" s="15">
        <v>0</v>
      </c>
      <c r="D18" s="16">
        <v>0</v>
      </c>
      <c r="E18" s="185">
        <f>SUM(C18:D18)</f>
        <v>0</v>
      </c>
      <c r="G18" s="119" t="str">
        <f>'Staffing Expenses'!$N$26</f>
        <v>Unknown</v>
      </c>
    </row>
    <row r="19" spans="1:8" ht="15.75" thickBot="1">
      <c r="A19" s="249"/>
      <c r="B19" s="243" t="s">
        <v>222</v>
      </c>
      <c r="C19" s="17">
        <v>0</v>
      </c>
      <c r="D19" s="18">
        <v>0</v>
      </c>
      <c r="E19" s="185">
        <f>SUM(C19:D19)</f>
        <v>0</v>
      </c>
      <c r="G19" s="117"/>
    </row>
    <row r="20" spans="1:8">
      <c r="A20" s="249"/>
      <c r="B20" s="247" t="s">
        <v>25</v>
      </c>
      <c r="C20" s="243"/>
      <c r="D20" s="243"/>
      <c r="E20" s="186">
        <f>SUM(E16:E19)</f>
        <v>98154</v>
      </c>
    </row>
    <row r="21" spans="1:8">
      <c r="A21" s="249"/>
      <c r="B21" s="247"/>
      <c r="C21" s="314" t="s">
        <v>230</v>
      </c>
      <c r="D21" s="315"/>
      <c r="E21" s="316"/>
    </row>
    <row r="22" spans="1:8">
      <c r="A22" s="318" t="s">
        <v>33</v>
      </c>
      <c r="B22" s="243" t="s">
        <v>223</v>
      </c>
      <c r="C22" s="243"/>
      <c r="D22" s="243"/>
      <c r="E22" s="187">
        <f>SUM(E16/E3)</f>
        <v>1.9547138248297287</v>
      </c>
      <c r="G22" s="120">
        <f>IF(G16="Unknown","0",SUM(G16/E3))</f>
        <v>0</v>
      </c>
      <c r="H22" s="120">
        <f>SUM(E22:G22)</f>
        <v>1.9547138248297287</v>
      </c>
    </row>
    <row r="23" spans="1:8">
      <c r="A23" s="318"/>
      <c r="B23" s="243" t="s">
        <v>224</v>
      </c>
      <c r="C23" s="243"/>
      <c r="D23" s="243"/>
      <c r="E23" s="187">
        <f>SUM(E17/E3)</f>
        <v>0</v>
      </c>
      <c r="G23" s="120" t="str">
        <f>IF(G17="Unknown","0",SUM(G17/E3))</f>
        <v>0</v>
      </c>
      <c r="H23" s="120">
        <f>SUM(E23:G23)</f>
        <v>0</v>
      </c>
    </row>
    <row r="24" spans="1:8">
      <c r="A24" s="318"/>
      <c r="B24" s="243" t="s">
        <v>225</v>
      </c>
      <c r="C24" s="243"/>
      <c r="D24" s="243"/>
      <c r="E24" s="187">
        <f>SUM(E18/E7)</f>
        <v>0</v>
      </c>
      <c r="G24" s="120" t="str">
        <f>IF(G18="Unknown","0",SUM(G18/E3))</f>
        <v>0</v>
      </c>
      <c r="H24" s="120">
        <f>SUM(E24:G24)</f>
        <v>0</v>
      </c>
    </row>
    <row r="25" spans="1:8">
      <c r="A25" s="318"/>
      <c r="B25" s="243" t="s">
        <v>226</v>
      </c>
      <c r="C25" s="243"/>
      <c r="D25" s="243"/>
      <c r="E25" s="187">
        <f>SUM(E19/E3)</f>
        <v>0</v>
      </c>
      <c r="G25" s="120">
        <f>IF(G19="Unknown","0",SUM(G19/E3))</f>
        <v>0</v>
      </c>
      <c r="H25" s="120">
        <f>SUM(E25:G25)</f>
        <v>0</v>
      </c>
    </row>
    <row r="26" spans="1:8" ht="17.25" customHeight="1">
      <c r="A26" s="318"/>
      <c r="B26" s="247" t="s">
        <v>227</v>
      </c>
      <c r="C26" s="243"/>
      <c r="D26" s="243"/>
      <c r="E26" s="188">
        <f>SUM(E22:E25)</f>
        <v>1.9547138248297287</v>
      </c>
      <c r="G26" s="117"/>
      <c r="H26" s="120">
        <f>SUM(H22:H25)</f>
        <v>1.9547138248297287</v>
      </c>
    </row>
    <row r="27" spans="1:8" ht="17.25" customHeight="1" thickBot="1">
      <c r="A27" s="254"/>
      <c r="B27" s="243"/>
      <c r="C27" s="243"/>
      <c r="D27" s="243"/>
      <c r="E27" s="252"/>
    </row>
    <row r="28" spans="1:8" ht="17.25" customHeight="1" thickBot="1">
      <c r="A28" s="318" t="s">
        <v>146</v>
      </c>
      <c r="B28" s="243" t="s">
        <v>180</v>
      </c>
      <c r="C28" s="243"/>
      <c r="D28" s="243"/>
      <c r="E28" s="19">
        <v>7490.08</v>
      </c>
    </row>
    <row r="29" spans="1:8" ht="17.25" customHeight="1">
      <c r="A29" s="318"/>
      <c r="B29" s="247" t="s">
        <v>229</v>
      </c>
      <c r="C29" s="243"/>
      <c r="D29" s="243"/>
      <c r="E29" s="189">
        <f>SUM(E28/E6)</f>
        <v>6.613406795224977E-2</v>
      </c>
    </row>
    <row r="30" spans="1:8" ht="17.25" customHeight="1" thickBot="1">
      <c r="A30" s="254"/>
      <c r="B30" s="243"/>
      <c r="C30" s="243"/>
      <c r="D30" s="243"/>
      <c r="E30" s="252"/>
    </row>
    <row r="31" spans="1:8" ht="17.25" customHeight="1" thickBot="1">
      <c r="A31" s="318" t="s">
        <v>146</v>
      </c>
      <c r="B31" s="243" t="s">
        <v>202</v>
      </c>
      <c r="C31" s="243"/>
      <c r="D31" s="243"/>
      <c r="E31" s="19">
        <v>2982.56</v>
      </c>
    </row>
    <row r="32" spans="1:8" ht="17.25" customHeight="1">
      <c r="A32" s="318"/>
      <c r="B32" s="247" t="s">
        <v>228</v>
      </c>
      <c r="C32" s="243"/>
      <c r="D32" s="243"/>
      <c r="E32" s="189">
        <f>SUM(E31/E3)</f>
        <v>5.9396980921655317E-2</v>
      </c>
      <c r="F32" s="121" t="s">
        <v>68</v>
      </c>
    </row>
    <row r="33" spans="1:8" ht="17.25" customHeight="1" thickBot="1">
      <c r="A33" s="254"/>
      <c r="B33" s="243"/>
      <c r="C33" s="243"/>
      <c r="D33" s="243"/>
      <c r="E33" s="255"/>
      <c r="F33" s="121" t="s">
        <v>38</v>
      </c>
      <c r="H33" t="s">
        <v>38</v>
      </c>
    </row>
    <row r="34" spans="1:8" ht="17.25" customHeight="1" thickBot="1">
      <c r="A34" s="318" t="s">
        <v>146</v>
      </c>
      <c r="B34" s="243" t="s">
        <v>201</v>
      </c>
      <c r="C34" s="243"/>
      <c r="D34" s="243"/>
      <c r="E34" s="19">
        <v>62331.28</v>
      </c>
      <c r="F34" s="121"/>
      <c r="G34" t="s">
        <v>38</v>
      </c>
    </row>
    <row r="35" spans="1:8" ht="17.25" customHeight="1">
      <c r="A35" s="318"/>
      <c r="B35" s="247" t="s">
        <v>228</v>
      </c>
      <c r="C35" s="243"/>
      <c r="D35" s="243"/>
      <c r="E35" s="189">
        <f>SUM(E34/E3)</f>
        <v>1.2413127812960529</v>
      </c>
      <c r="F35" s="122">
        <f>SUM(E32+E35)</f>
        <v>1.3007097622177082</v>
      </c>
    </row>
    <row r="36" spans="1:8" ht="17.25" customHeight="1" thickBot="1">
      <c r="A36" s="254"/>
      <c r="B36" s="243"/>
      <c r="C36" s="243"/>
      <c r="D36" s="243"/>
      <c r="E36" s="255"/>
    </row>
    <row r="37" spans="1:8" ht="17.25" customHeight="1" thickBot="1">
      <c r="A37" s="318" t="s">
        <v>30</v>
      </c>
      <c r="B37" s="243" t="s">
        <v>35</v>
      </c>
      <c r="C37" s="243"/>
      <c r="D37" s="243"/>
      <c r="E37" s="19">
        <v>98154</v>
      </c>
      <c r="F37" s="121" t="s">
        <v>84</v>
      </c>
    </row>
    <row r="38" spans="1:8" ht="17.25" customHeight="1">
      <c r="A38" s="318"/>
      <c r="B38" s="247" t="s">
        <v>228</v>
      </c>
      <c r="C38" s="243"/>
      <c r="D38" s="243"/>
      <c r="E38" s="189">
        <f>SUM(E37/E3)</f>
        <v>1.9547138248297287</v>
      </c>
      <c r="F38" s="121"/>
    </row>
    <row r="39" spans="1:8" ht="17.25" customHeight="1" thickBot="1">
      <c r="A39" s="254"/>
      <c r="B39" s="243"/>
      <c r="C39" s="243"/>
      <c r="D39" s="243"/>
      <c r="E39" s="252"/>
      <c r="F39" s="121"/>
    </row>
    <row r="40" spans="1:8" ht="17.25" customHeight="1" thickBot="1">
      <c r="A40" s="318" t="s">
        <v>34</v>
      </c>
      <c r="B40" s="243" t="s">
        <v>36</v>
      </c>
      <c r="C40" s="243"/>
      <c r="D40" s="243"/>
      <c r="E40" s="19">
        <v>1016885</v>
      </c>
      <c r="F40" s="121"/>
    </row>
    <row r="41" spans="1:8">
      <c r="A41" s="318"/>
      <c r="B41" s="247" t="s">
        <v>228</v>
      </c>
      <c r="C41" s="243"/>
      <c r="D41" s="243"/>
      <c r="E41" s="189">
        <f>SUM(E40/E3)</f>
        <v>20.25102561038754</v>
      </c>
      <c r="F41" s="122">
        <f>SUM(E38+E41)</f>
        <v>22.205739435217268</v>
      </c>
    </row>
    <row r="42" spans="1:8">
      <c r="A42" s="256"/>
      <c r="B42" s="257"/>
      <c r="C42" s="257"/>
      <c r="D42" s="257"/>
      <c r="E42" s="258"/>
    </row>
    <row r="43" spans="1:8">
      <c r="A43" s="425" t="s">
        <v>260</v>
      </c>
      <c r="B43" s="317"/>
      <c r="C43" s="317"/>
      <c r="D43" s="317"/>
      <c r="E43" s="317"/>
    </row>
  </sheetData>
  <sheetProtection algorithmName="SHA-512" hashValue="5VMEEopvQEDioqOeBj8IZCWpDApYm7XDziB7JWDfHhZJ3wUTOdb0L3CGAG7TBB/1Gq89kZf39e++t8HIbLT4UQ==" saltValue="e8hGQGw1TRWSwbVZk5adjg==" spinCount="100000" sheet="1" objects="1" scenarios="1"/>
  <mergeCells count="10">
    <mergeCell ref="A1:B1"/>
    <mergeCell ref="A2:E2"/>
    <mergeCell ref="C21:E21"/>
    <mergeCell ref="A28:A29"/>
    <mergeCell ref="A31:A32"/>
    <mergeCell ref="A34:A35"/>
    <mergeCell ref="A37:A38"/>
    <mergeCell ref="A40:A41"/>
    <mergeCell ref="A22:A26"/>
    <mergeCell ref="A43:E43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 codeName="Sheet2">
    <pageSetUpPr fitToPage="1"/>
  </sheetPr>
  <dimension ref="A1:O194"/>
  <sheetViews>
    <sheetView topLeftCell="A9" zoomScale="70" zoomScaleNormal="70" workbookViewId="0">
      <selection activeCell="C29" sqref="C29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26" t="s">
        <v>262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8"/>
    </row>
    <row r="2" spans="1:15" ht="24.75" customHeight="1">
      <c r="A2" s="331" t="s">
        <v>184</v>
      </c>
      <c r="B2" s="330"/>
      <c r="C2" s="330"/>
      <c r="D2" s="330"/>
      <c r="E2" s="330"/>
      <c r="F2" s="330"/>
      <c r="G2" s="51"/>
      <c r="H2" s="338" t="s">
        <v>187</v>
      </c>
      <c r="I2" s="338"/>
      <c r="J2" s="338"/>
      <c r="K2" s="338"/>
      <c r="L2" s="338"/>
      <c r="M2" s="338"/>
      <c r="N2" s="338"/>
      <c r="O2" s="338"/>
    </row>
    <row r="3" spans="1:15" ht="63.95" customHeight="1">
      <c r="A3" s="52" t="s">
        <v>203</v>
      </c>
      <c r="B3" s="53" t="s">
        <v>204</v>
      </c>
      <c r="C3" s="53" t="s">
        <v>205</v>
      </c>
      <c r="D3" s="53" t="s">
        <v>206</v>
      </c>
      <c r="E3" s="53" t="s">
        <v>207</v>
      </c>
      <c r="G3" s="51"/>
      <c r="H3" s="322"/>
      <c r="I3" s="322"/>
      <c r="J3" s="322"/>
      <c r="K3" s="322"/>
      <c r="L3" s="322"/>
      <c r="M3" s="322"/>
      <c r="N3" s="322"/>
      <c r="O3" s="322"/>
    </row>
    <row r="4" spans="1:15" ht="15.75" customHeight="1">
      <c r="A4" s="54" t="s">
        <v>3</v>
      </c>
      <c r="B4" s="55" t="s">
        <v>4</v>
      </c>
      <c r="C4" s="55" t="s">
        <v>5</v>
      </c>
      <c r="D4" s="55" t="s">
        <v>6</v>
      </c>
      <c r="E4" s="55" t="s">
        <v>218</v>
      </c>
      <c r="G4" s="51"/>
      <c r="H4" s="322"/>
      <c r="I4" s="322"/>
      <c r="J4" s="322"/>
      <c r="K4" s="322"/>
      <c r="L4" s="322"/>
      <c r="M4" s="322"/>
      <c r="N4" s="322"/>
      <c r="O4" s="322"/>
    </row>
    <row r="5" spans="1:15" ht="21">
      <c r="A5" s="56">
        <v>8500</v>
      </c>
      <c r="B5" s="57">
        <v>16700</v>
      </c>
      <c r="C5" s="58">
        <v>26500</v>
      </c>
      <c r="D5" s="59">
        <v>39500</v>
      </c>
      <c r="E5" s="60">
        <v>45600</v>
      </c>
      <c r="G5" s="51"/>
      <c r="H5" s="335" t="s">
        <v>159</v>
      </c>
      <c r="I5" s="336"/>
      <c r="J5" s="336"/>
      <c r="K5" s="336"/>
      <c r="L5" s="336"/>
      <c r="M5" s="336"/>
      <c r="N5" s="336"/>
      <c r="O5" s="337"/>
    </row>
    <row r="6" spans="1:15" ht="18.75">
      <c r="A6" s="61"/>
      <c r="B6" s="62"/>
      <c r="C6" s="62"/>
      <c r="D6" s="62"/>
      <c r="E6" s="62"/>
      <c r="G6" s="51"/>
      <c r="H6" s="324" t="s">
        <v>236</v>
      </c>
      <c r="I6" s="324"/>
      <c r="J6" s="324"/>
      <c r="K6" s="324"/>
      <c r="L6" s="324"/>
      <c r="M6" s="324"/>
      <c r="N6" s="324"/>
      <c r="O6" s="334"/>
    </row>
    <row r="7" spans="1:15" ht="77.45" customHeight="1" thickBot="1">
      <c r="A7" s="63" t="s">
        <v>261</v>
      </c>
      <c r="B7" s="3" t="s">
        <v>0</v>
      </c>
      <c r="C7" s="3" t="s">
        <v>1</v>
      </c>
      <c r="D7" s="64" t="s">
        <v>37</v>
      </c>
      <c r="E7" s="64" t="s">
        <v>2</v>
      </c>
      <c r="F7" s="65" t="s">
        <v>161</v>
      </c>
      <c r="G7" s="66"/>
      <c r="H7" s="67" t="s">
        <v>108</v>
      </c>
      <c r="I7" s="68" t="s">
        <v>8</v>
      </c>
      <c r="J7" s="68" t="s">
        <v>7</v>
      </c>
      <c r="K7" s="68" t="s">
        <v>168</v>
      </c>
      <c r="L7" s="68" t="s">
        <v>231</v>
      </c>
      <c r="M7" s="68" t="s">
        <v>232</v>
      </c>
      <c r="N7" s="68" t="s">
        <v>233</v>
      </c>
      <c r="O7" s="69" t="s">
        <v>234</v>
      </c>
    </row>
    <row r="8" spans="1:15" ht="38.1" hidden="1" customHeight="1" thickBot="1">
      <c r="A8" s="70" t="s">
        <v>126</v>
      </c>
      <c r="B8" s="71" t="s">
        <v>29</v>
      </c>
      <c r="C8" s="72">
        <v>617680</v>
      </c>
      <c r="D8" s="73">
        <v>27</v>
      </c>
      <c r="E8" s="72">
        <f>SUM(C8/D8)</f>
        <v>22877.037037037036</v>
      </c>
      <c r="F8" s="74" t="str">
        <f>IF(E8&gt;E5,"5",IF(E8&gt;D5,"4-5",IF(E8&gt;C5,"3-4",IF(E8&gt;B5,"2-3",IF(E8&gt;A5,"1-2",IF(E8&lt;A5,"1",0))))))</f>
        <v>2-3</v>
      </c>
      <c r="G8" s="66"/>
      <c r="H8" s="75"/>
      <c r="I8" s="76">
        <f>SUM(D8+H8)</f>
        <v>27</v>
      </c>
      <c r="J8" s="77">
        <f>SUM(C8/I8)</f>
        <v>22877.037037037036</v>
      </c>
      <c r="K8" s="78" t="str">
        <f>IF(J8&gt;E5,"5",IF(J8&gt;D5,"4-5",IF(J8&gt;C5,"3-4",IF(J8&gt;B5,"2-3",IF(J8&gt;A5,"1-2",IF(J8&lt;A5,"1",0))))))</f>
        <v>2-3</v>
      </c>
      <c r="L8" s="79">
        <v>2256655</v>
      </c>
      <c r="M8" s="80">
        <f>SUM(L8/C8)</f>
        <v>3.6534370547856496</v>
      </c>
      <c r="N8" s="81">
        <f>SUM(J8*H8*M8)</f>
        <v>0</v>
      </c>
      <c r="O8" s="82">
        <f>SUM(L8+N8)</f>
        <v>2256655</v>
      </c>
    </row>
    <row r="9" spans="1:15" ht="38.1" customHeight="1" thickBot="1">
      <c r="A9" s="284" t="str">
        <f>'Summary Data'!$D$1</f>
        <v>2020-2021</v>
      </c>
      <c r="B9" s="285" t="str">
        <f>'Summary Data'!$A$1</f>
        <v>Centennial Education Center</v>
      </c>
      <c r="C9" s="222">
        <f>'Summary Data'!$E$3</f>
        <v>50214</v>
      </c>
      <c r="D9" s="223">
        <f>'Summary Data'!$E$9</f>
        <v>1</v>
      </c>
      <c r="E9" s="222">
        <f>IF(D9,C9/D9,"Unknown")</f>
        <v>50214</v>
      </c>
      <c r="F9" s="295" t="str">
        <f>IF(E9="Unknown","Unknown",IF(E9&gt;E5,"5",IF(E9&gt;D5,"4-5",IF(E9&gt;C5,"3-4",IF(E9&gt;B5,"2-3",IF(E9&gt;A5,"1-2",IF(E9&lt;A5,"1",0)))))))</f>
        <v>5</v>
      </c>
      <c r="G9" s="83"/>
      <c r="H9" s="283">
        <v>0</v>
      </c>
      <c r="I9" s="286">
        <f>SUM(D9+H9)</f>
        <v>1</v>
      </c>
      <c r="J9" s="222">
        <f>IF(I9,C9/I9,"Unknown")</f>
        <v>50214</v>
      </c>
      <c r="K9" s="220" t="str">
        <f>IF(J9="Unknown","Unknown",IF(J9&gt;E5,"5",IF(J9&gt;D5,"4-5",IF(J9&gt;C5,"3-4",IF(J9&gt;B5,"2-3",IF(J9&gt;A5,"1-2",IF(J9&lt;A5,"1",0)))))))</f>
        <v>5</v>
      </c>
      <c r="L9" s="225">
        <f>'Summary Data'!$E$16</f>
        <v>98154</v>
      </c>
      <c r="M9" s="226">
        <f>SUM(L9/C9)</f>
        <v>1.9547138248297287</v>
      </c>
      <c r="N9" s="296">
        <f>IF(J9="Unknown","Unknown",SUM(J9*H9*M9))</f>
        <v>0</v>
      </c>
      <c r="O9" s="297">
        <f>IF(N9="Unknown","Unknown",SUM(L9+N9))</f>
        <v>98154</v>
      </c>
    </row>
    <row r="10" spans="1:15" ht="32.1" customHeight="1">
      <c r="A10" s="84"/>
      <c r="B10" s="85"/>
      <c r="C10" s="86"/>
      <c r="D10" s="87"/>
      <c r="E10" s="86"/>
      <c r="F10" s="88"/>
      <c r="G10" s="89"/>
      <c r="H10" s="89"/>
      <c r="I10" s="90"/>
      <c r="J10" s="91"/>
      <c r="K10" s="92"/>
      <c r="L10" s="93"/>
      <c r="M10" s="94"/>
      <c r="N10" s="93"/>
      <c r="O10" s="95"/>
    </row>
    <row r="11" spans="1:15" ht="26.25" customHeight="1">
      <c r="A11" s="329" t="s">
        <v>185</v>
      </c>
      <c r="B11" s="330"/>
      <c r="C11" s="330"/>
      <c r="D11" s="330"/>
      <c r="E11" s="330"/>
      <c r="F11" s="330"/>
      <c r="G11" s="51"/>
      <c r="H11" s="338" t="s">
        <v>187</v>
      </c>
      <c r="I11" s="338"/>
      <c r="J11" s="338"/>
      <c r="K11" s="338"/>
      <c r="L11" s="338"/>
      <c r="M11" s="338"/>
      <c r="N11" s="338"/>
      <c r="O11" s="338"/>
    </row>
    <row r="12" spans="1:15" ht="63.95" customHeight="1">
      <c r="A12" s="53" t="s">
        <v>162</v>
      </c>
      <c r="B12" s="53" t="s">
        <v>163</v>
      </c>
      <c r="C12" s="53" t="s">
        <v>164</v>
      </c>
      <c r="D12" s="53" t="s">
        <v>165</v>
      </c>
      <c r="E12" s="53" t="s">
        <v>166</v>
      </c>
      <c r="G12" s="51"/>
      <c r="H12" s="322"/>
      <c r="I12" s="322"/>
      <c r="J12" s="322"/>
      <c r="K12" s="322"/>
      <c r="L12" s="322"/>
      <c r="M12" s="322"/>
      <c r="N12" s="322"/>
      <c r="O12" s="322"/>
    </row>
    <row r="13" spans="1:15" ht="31.5" customHeight="1">
      <c r="A13" s="55" t="s">
        <v>9</v>
      </c>
      <c r="B13" s="55" t="s">
        <v>10</v>
      </c>
      <c r="C13" s="55" t="s">
        <v>11</v>
      </c>
      <c r="D13" s="55" t="s">
        <v>12</v>
      </c>
      <c r="E13" s="55" t="s">
        <v>13</v>
      </c>
      <c r="G13" s="51"/>
      <c r="H13" s="322"/>
      <c r="I13" s="322"/>
      <c r="J13" s="322"/>
      <c r="K13" s="322"/>
      <c r="L13" s="322"/>
      <c r="M13" s="322"/>
      <c r="N13" s="322"/>
      <c r="O13" s="322"/>
    </row>
    <row r="14" spans="1:15" ht="21">
      <c r="A14" s="96">
        <v>47220</v>
      </c>
      <c r="B14" s="57">
        <v>67456</v>
      </c>
      <c r="C14" s="58">
        <v>94439</v>
      </c>
      <c r="D14" s="59">
        <v>118049</v>
      </c>
      <c r="E14" s="60">
        <v>236098</v>
      </c>
      <c r="G14" s="51"/>
      <c r="H14" s="339" t="s">
        <v>235</v>
      </c>
      <c r="I14" s="340"/>
      <c r="J14" s="340"/>
      <c r="K14" s="340"/>
      <c r="L14" s="340"/>
      <c r="M14" s="340"/>
      <c r="N14" s="340"/>
      <c r="O14" s="341"/>
    </row>
    <row r="15" spans="1:15" ht="18.75">
      <c r="A15" s="97"/>
      <c r="B15" s="98"/>
      <c r="C15" s="98"/>
      <c r="D15" s="98"/>
      <c r="E15" s="98"/>
      <c r="G15" s="51"/>
      <c r="H15" s="324" t="s">
        <v>237</v>
      </c>
      <c r="I15" s="324"/>
      <c r="J15" s="324"/>
      <c r="K15" s="324"/>
      <c r="L15" s="324"/>
      <c r="M15" s="324"/>
      <c r="N15" s="324"/>
      <c r="O15" s="325"/>
    </row>
    <row r="16" spans="1:15" ht="81.75" customHeight="1" thickBot="1">
      <c r="A16" s="3" t="s">
        <v>261</v>
      </c>
      <c r="B16" s="3" t="s">
        <v>0</v>
      </c>
      <c r="C16" s="3" t="s">
        <v>1</v>
      </c>
      <c r="D16" s="64" t="s">
        <v>39</v>
      </c>
      <c r="E16" s="64" t="s">
        <v>40</v>
      </c>
      <c r="F16" s="65" t="s">
        <v>160</v>
      </c>
      <c r="G16" s="99"/>
      <c r="H16" s="100" t="s">
        <v>115</v>
      </c>
      <c r="I16" s="64" t="s">
        <v>8</v>
      </c>
      <c r="J16" s="64" t="s">
        <v>116</v>
      </c>
      <c r="K16" s="64" t="s">
        <v>239</v>
      </c>
      <c r="L16" s="64" t="s">
        <v>240</v>
      </c>
      <c r="M16" s="64" t="s">
        <v>241</v>
      </c>
      <c r="N16" s="64" t="s">
        <v>242</v>
      </c>
      <c r="O16" s="64" t="s">
        <v>243</v>
      </c>
    </row>
    <row r="17" spans="1:15" ht="38.1" customHeight="1" thickBot="1">
      <c r="A17" s="215" t="str">
        <f>'Summary Data'!$D$1</f>
        <v>2020-2021</v>
      </c>
      <c r="B17" s="216" t="str">
        <f>'Summary Data'!$A$1</f>
        <v>Centennial Education Center</v>
      </c>
      <c r="C17" s="217">
        <f>'Summary Data'!$E$3</f>
        <v>50214</v>
      </c>
      <c r="D17" s="218">
        <f>'Summary Data'!$E$10</f>
        <v>0</v>
      </c>
      <c r="E17" s="222" t="str">
        <f>IF(D17,C17/D17,"Unknown")</f>
        <v>Unknown</v>
      </c>
      <c r="F17" s="298" t="str">
        <f>IF(E17="Unknown","Unknown",IF(E17&gt;E14,"5",IF(E17&gt;D14,"4-5",IF(E17&gt;C14,"3-4",IF(E17&gt;B14,"2-3",IF(E17&gt;A14,"1-2",IF(E17&lt;A14,"1",0)))))))</f>
        <v>Unknown</v>
      </c>
      <c r="G17" s="99"/>
      <c r="H17" s="283">
        <v>0</v>
      </c>
      <c r="I17" s="219">
        <f>SUM(D17+H17)</f>
        <v>0</v>
      </c>
      <c r="J17" s="222" t="str">
        <f>IF(I17,C17/I17,"Unknown")</f>
        <v>Unknown</v>
      </c>
      <c r="K17" s="220" t="str">
        <f>IF(J17="Unknown","Unknown",IF(J17&gt;E14,"5",IF(J17&gt;D14,"4-5",IF(J17&gt;C14,"3-4",IF(J17&gt;B14,"2-3",IF(J17&gt;A14,"1-2",IF(J17&lt;A14,"1",0)))))))</f>
        <v>Unknown</v>
      </c>
      <c r="L17" s="296">
        <f>'Summary Data'!$E$17</f>
        <v>0</v>
      </c>
      <c r="M17" s="299">
        <f>SUM(L17/C17)</f>
        <v>0</v>
      </c>
      <c r="N17" s="296" t="str">
        <f>IF(J17="Unknown","Unknown",SUM(J17*H17*M17))</f>
        <v>Unknown</v>
      </c>
      <c r="O17" s="297" t="str">
        <f>IF(N17="Unknown","Unknown",SUM(L17+N17))</f>
        <v>Unknown</v>
      </c>
    </row>
    <row r="18" spans="1:15" ht="32.1" customHeight="1">
      <c r="A18" s="101"/>
      <c r="B18" s="102"/>
      <c r="C18" s="103"/>
      <c r="D18" s="104"/>
      <c r="E18" s="292"/>
      <c r="F18" s="293"/>
      <c r="G18" s="105"/>
      <c r="H18" s="106"/>
      <c r="I18" s="107"/>
      <c r="J18" s="287"/>
      <c r="K18" s="288"/>
      <c r="L18" s="289"/>
      <c r="M18" s="290"/>
      <c r="N18" s="289"/>
      <c r="O18" s="291"/>
    </row>
    <row r="19" spans="1:15" ht="26.25" customHeight="1">
      <c r="A19" s="332" t="s">
        <v>186</v>
      </c>
      <c r="B19" s="333"/>
      <c r="C19" s="333"/>
      <c r="D19" s="333"/>
      <c r="E19" s="333"/>
      <c r="F19" s="333"/>
      <c r="G19" s="51"/>
      <c r="H19" s="322" t="s">
        <v>187</v>
      </c>
      <c r="I19" s="322"/>
      <c r="J19" s="322"/>
      <c r="K19" s="322"/>
      <c r="L19" s="322"/>
      <c r="M19" s="322"/>
      <c r="N19" s="322"/>
      <c r="O19" s="322"/>
    </row>
    <row r="20" spans="1:15" ht="63.95" customHeight="1">
      <c r="A20" s="53" t="s">
        <v>152</v>
      </c>
      <c r="B20" s="53" t="s">
        <v>153</v>
      </c>
      <c r="C20" s="53" t="s">
        <v>154</v>
      </c>
      <c r="D20" s="53" t="s">
        <v>155</v>
      </c>
      <c r="E20" s="53" t="s">
        <v>156</v>
      </c>
      <c r="G20" s="51"/>
      <c r="H20" s="322"/>
      <c r="I20" s="322"/>
      <c r="J20" s="322"/>
      <c r="K20" s="322"/>
      <c r="L20" s="322"/>
      <c r="M20" s="322"/>
      <c r="N20" s="322"/>
      <c r="O20" s="322"/>
    </row>
    <row r="21" spans="1:15" ht="31.5" customHeight="1">
      <c r="A21" s="55" t="s">
        <v>14</v>
      </c>
      <c r="B21" s="55" t="s">
        <v>15</v>
      </c>
      <c r="C21" s="55" t="s">
        <v>16</v>
      </c>
      <c r="D21" s="55" t="s">
        <v>17</v>
      </c>
      <c r="E21" s="55" t="s">
        <v>18</v>
      </c>
      <c r="G21" s="51"/>
      <c r="H21" s="322"/>
      <c r="I21" s="322"/>
      <c r="J21" s="322"/>
      <c r="K21" s="322"/>
      <c r="L21" s="322"/>
      <c r="M21" s="322"/>
      <c r="N21" s="322"/>
      <c r="O21" s="322"/>
    </row>
    <row r="22" spans="1:15" ht="51" customHeight="1">
      <c r="A22" s="108" t="s">
        <v>120</v>
      </c>
      <c r="B22" s="109" t="s">
        <v>119</v>
      </c>
      <c r="C22" s="110" t="s">
        <v>117</v>
      </c>
      <c r="D22" s="111" t="s">
        <v>118</v>
      </c>
      <c r="E22" s="112" t="s">
        <v>121</v>
      </c>
      <c r="G22" s="51"/>
      <c r="H22" s="322"/>
      <c r="I22" s="322"/>
      <c r="J22" s="322"/>
      <c r="K22" s="322"/>
      <c r="L22" s="322"/>
      <c r="M22" s="322"/>
      <c r="N22" s="322"/>
      <c r="O22" s="322"/>
    </row>
    <row r="23" spans="1:15" ht="21" customHeight="1">
      <c r="A23" s="108">
        <v>346737.6</v>
      </c>
      <c r="B23" s="109">
        <v>451717</v>
      </c>
      <c r="C23" s="110">
        <v>608097.6</v>
      </c>
      <c r="D23" s="111">
        <v>976615</v>
      </c>
      <c r="E23" s="112">
        <v>1855656</v>
      </c>
      <c r="G23" s="51"/>
      <c r="H23" s="319" t="s">
        <v>158</v>
      </c>
      <c r="I23" s="320"/>
      <c r="J23" s="320"/>
      <c r="K23" s="320"/>
      <c r="L23" s="320"/>
      <c r="M23" s="320"/>
      <c r="N23" s="320"/>
      <c r="O23" s="321"/>
    </row>
    <row r="24" spans="1:15" ht="18.75">
      <c r="A24" s="323"/>
      <c r="B24" s="323"/>
      <c r="C24" s="323"/>
      <c r="D24" s="323"/>
      <c r="E24" s="323"/>
      <c r="F24" s="323"/>
      <c r="G24" s="51"/>
      <c r="H24" s="324" t="s">
        <v>238</v>
      </c>
      <c r="I24" s="324"/>
      <c r="J24" s="324"/>
      <c r="K24" s="324"/>
      <c r="L24" s="324"/>
      <c r="M24" s="324"/>
      <c r="N24" s="324"/>
      <c r="O24" s="325"/>
    </row>
    <row r="25" spans="1:15" ht="77.25" customHeight="1" thickBot="1">
      <c r="A25" s="47" t="s">
        <v>261</v>
      </c>
      <c r="B25" s="47" t="s">
        <v>88</v>
      </c>
      <c r="C25" s="68" t="s">
        <v>87</v>
      </c>
      <c r="D25" s="68" t="s">
        <v>85</v>
      </c>
      <c r="E25" s="68" t="s">
        <v>86</v>
      </c>
      <c r="F25" s="113" t="s">
        <v>157</v>
      </c>
      <c r="G25" s="83"/>
      <c r="H25" s="100" t="s">
        <v>122</v>
      </c>
      <c r="I25" s="68" t="s">
        <v>8</v>
      </c>
      <c r="J25" s="68" t="s">
        <v>89</v>
      </c>
      <c r="K25" s="68" t="s">
        <v>167</v>
      </c>
      <c r="L25" s="68" t="s">
        <v>244</v>
      </c>
      <c r="M25" s="68" t="s">
        <v>245</v>
      </c>
      <c r="N25" s="68" t="s">
        <v>246</v>
      </c>
      <c r="O25" s="68" t="s">
        <v>247</v>
      </c>
    </row>
    <row r="26" spans="1:15" ht="38.1" customHeight="1" thickBot="1">
      <c r="A26" s="220" t="str">
        <f>'Summary Data'!$D$1</f>
        <v>2020-2021</v>
      </c>
      <c r="B26" s="221" t="str">
        <f>'Summary Data'!$A$1</f>
        <v>Centennial Education Center</v>
      </c>
      <c r="C26" s="222">
        <f>'Summary Data'!$E$7</f>
        <v>63042</v>
      </c>
      <c r="D26" s="223">
        <f>'Summary Data'!$E$11</f>
        <v>0</v>
      </c>
      <c r="E26" s="222" t="str">
        <f>IF(D26,C26/D26,"Unknown")</f>
        <v>Unknown</v>
      </c>
      <c r="F26" s="300" t="str">
        <f>IF(E26="Unknown","Unknown",IF(E26="Unknown","Unknown",IF(E26&gt;E23,"5",IF(E26&gt;D23,"4-5",IF(E26&gt;C23,"3-4",IF(E26&gt;B23,"2-3",IF(E26&gt;A23,"1-2",IF(E26&lt;A23,"1",0))))))))</f>
        <v>Unknown</v>
      </c>
      <c r="G26" s="114"/>
      <c r="H26" s="283">
        <v>0</v>
      </c>
      <c r="I26" s="224">
        <f>SUM(D26+H26)</f>
        <v>0</v>
      </c>
      <c r="J26" s="222" t="str">
        <f>IF(I26,C26/I26,"Unknown")</f>
        <v>Unknown</v>
      </c>
      <c r="K26" s="301" t="str">
        <f>IF(J26="Unknown","Unknown",IF(J26&gt;E23,"5",IF(J26&gt;D23,"4-5",IF(J26&gt;C23,"3-4",IF(J26&gt;B23,"2-3",IF(J26&gt;A23,"1-2",IF(J26&lt;A23,"1",0)))))))</f>
        <v>Unknown</v>
      </c>
      <c r="L26" s="225">
        <f>'Summary Data'!$E$18</f>
        <v>0</v>
      </c>
      <c r="M26" s="226">
        <f>SUM(L26/C26)</f>
        <v>0</v>
      </c>
      <c r="N26" s="296" t="str">
        <f>IF(J26="Unknown","Unknown",SUM(J26*H26*M26))</f>
        <v>Unknown</v>
      </c>
      <c r="O26" s="297" t="str">
        <f>IF(N26="Unknown","Unknown",SUM(L26+N26))</f>
        <v>Unknown</v>
      </c>
    </row>
    <row r="27" spans="1:15" ht="21.75" customHeight="1">
      <c r="A27" s="426" t="s">
        <v>260</v>
      </c>
      <c r="B27" s="427"/>
      <c r="C27" s="427"/>
      <c r="D27" s="427"/>
      <c r="E27" s="427"/>
      <c r="F27" s="427"/>
      <c r="G27" s="34"/>
      <c r="H27" s="34"/>
      <c r="I27" s="36"/>
      <c r="J27" s="35"/>
      <c r="K27" s="37"/>
      <c r="L27" s="38"/>
      <c r="M27" s="39"/>
      <c r="N27" s="38"/>
      <c r="O27" s="38"/>
    </row>
    <row r="28" spans="1:15" ht="18.75">
      <c r="G28"/>
      <c r="J28" s="10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OQBqYbf1Q5YpzNaTSRfvRMvvP9MvPYe9JJcGhO722quJET0foIsm1bYovX24czSzmT7H+MQVRRnuXylHq7DWgw==" saltValue="h/EfQQAVUzyA7NYEBh1Ghg==" spinCount="100000" sheet="1" objects="1" scenarios="1"/>
  <mergeCells count="15">
    <mergeCell ref="A27:F27"/>
    <mergeCell ref="H23:O23"/>
    <mergeCell ref="H19:O22"/>
    <mergeCell ref="A24:F24"/>
    <mergeCell ref="H24:O24"/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 codeName="Sheet3">
    <pageSetUpPr fitToPage="1"/>
  </sheetPr>
  <dimension ref="B1:R39"/>
  <sheetViews>
    <sheetView zoomScale="85" zoomScaleNormal="85" workbookViewId="0">
      <selection activeCell="F7" sqref="F7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62" t="s">
        <v>139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2:18" ht="26.25">
      <c r="B2" s="362" t="s">
        <v>248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2:18" ht="15.75" thickBot="1">
      <c r="B3" s="123"/>
    </row>
    <row r="4" spans="2:18" ht="16.5" thickBot="1">
      <c r="B4" s="124" t="s">
        <v>69</v>
      </c>
      <c r="C4" s="125" t="s">
        <v>217</v>
      </c>
      <c r="D4" s="44"/>
      <c r="F4" s="124" t="s">
        <v>70</v>
      </c>
      <c r="G4" s="366" t="str">
        <f>IFERROR(VLOOKUP($O$4,'Campuswide Expenses'!B7:N13,2,0),"")</f>
        <v>G BUILDING</v>
      </c>
      <c r="H4" s="366"/>
      <c r="I4" s="366"/>
      <c r="J4" s="126" t="s">
        <v>142</v>
      </c>
      <c r="K4" s="127">
        <f>IFERROR(VLOOKUP($O$4,'Campuswide Expenses'!F7:'Campuswide Expenses'!B7:D13,3,0),"")</f>
        <v>1980</v>
      </c>
      <c r="L4" s="126"/>
      <c r="N4" s="128"/>
      <c r="O4" s="50" t="s">
        <v>64</v>
      </c>
      <c r="Q4" s="33"/>
    </row>
    <row r="5" spans="2:18" ht="15.75">
      <c r="B5" s="124"/>
      <c r="C5" s="129"/>
      <c r="Q5" s="33"/>
    </row>
    <row r="6" spans="2:18" ht="16.5" thickBot="1">
      <c r="B6" s="123"/>
      <c r="E6" s="130"/>
      <c r="F6" s="131"/>
      <c r="G6" s="131"/>
      <c r="I6" s="131"/>
      <c r="J6" s="131"/>
      <c r="K6" s="131"/>
      <c r="L6" s="131"/>
      <c r="M6" s="131"/>
      <c r="N6" s="131"/>
      <c r="O6" s="131"/>
      <c r="Q6" s="33"/>
    </row>
    <row r="7" spans="2:18" ht="16.5" customHeight="1" thickBot="1">
      <c r="B7" s="372" t="s">
        <v>91</v>
      </c>
      <c r="C7" s="373"/>
      <c r="D7" s="190">
        <f>'Summary Data'!$E$3</f>
        <v>50214</v>
      </c>
      <c r="E7" s="132"/>
      <c r="F7" s="133" t="s">
        <v>263</v>
      </c>
      <c r="G7" s="380" t="str">
        <f>'Summary Data'!$D$1</f>
        <v>2020-2021</v>
      </c>
      <c r="H7" s="381"/>
      <c r="I7" s="134"/>
      <c r="J7" s="370" t="s">
        <v>71</v>
      </c>
      <c r="K7" s="371"/>
      <c r="L7" s="371"/>
      <c r="M7" s="377" t="s">
        <v>151</v>
      </c>
      <c r="N7" s="378"/>
      <c r="O7" s="379"/>
      <c r="Q7" s="33"/>
    </row>
    <row r="8" spans="2:18" ht="17.25" customHeight="1" thickBot="1">
      <c r="B8" s="363" t="s">
        <v>141</v>
      </c>
      <c r="C8" s="364"/>
      <c r="D8" s="191">
        <f>IFERROR(VLOOKUP($O$4,'Campuswide Expenses'!B6:N13,5,0),"")</f>
        <v>3000</v>
      </c>
      <c r="E8" s="132"/>
      <c r="F8" s="135" t="s">
        <v>72</v>
      </c>
      <c r="G8" s="135" t="s">
        <v>73</v>
      </c>
      <c r="H8" s="208">
        <f>'Summary Data'!$E$35</f>
        <v>1.2413127812960529</v>
      </c>
      <c r="I8" s="136"/>
      <c r="J8" s="367" t="s">
        <v>143</v>
      </c>
      <c r="K8" s="368"/>
      <c r="L8" s="368"/>
      <c r="M8" s="368"/>
      <c r="N8" s="368"/>
      <c r="O8" s="369"/>
      <c r="Q8" s="33"/>
    </row>
    <row r="9" spans="2:18" ht="18" customHeight="1" thickBot="1">
      <c r="B9" s="363" t="s">
        <v>148</v>
      </c>
      <c r="C9" s="364"/>
      <c r="D9" s="137">
        <v>0.04</v>
      </c>
      <c r="E9" s="131"/>
      <c r="F9" s="138" t="s">
        <v>74</v>
      </c>
      <c r="G9" s="139" t="s">
        <v>73</v>
      </c>
      <c r="H9" s="209">
        <f>'Summary Data'!$E$32</f>
        <v>5.9396980921655317E-2</v>
      </c>
      <c r="I9" s="136"/>
      <c r="J9" s="365" t="s">
        <v>75</v>
      </c>
      <c r="K9" s="365"/>
      <c r="L9" s="211">
        <f>'Summary Data'!$H$9</f>
        <v>1</v>
      </c>
      <c r="M9" s="365" t="s">
        <v>76</v>
      </c>
      <c r="N9" s="365"/>
      <c r="O9" s="214">
        <f>IF(L9,D7/L9,0)</f>
        <v>50214</v>
      </c>
      <c r="Q9" s="33"/>
    </row>
    <row r="10" spans="2:18" ht="16.5" customHeight="1" thickBot="1">
      <c r="B10" s="140" t="s">
        <v>124</v>
      </c>
      <c r="C10" s="141"/>
      <c r="D10" s="137">
        <v>0.03</v>
      </c>
      <c r="E10" s="131"/>
      <c r="F10" s="138" t="s">
        <v>174</v>
      </c>
      <c r="G10" s="139" t="s">
        <v>77</v>
      </c>
      <c r="H10" s="209">
        <f>'Summary Data'!$E$29</f>
        <v>6.613406795224977E-2</v>
      </c>
      <c r="I10" s="136"/>
      <c r="J10" s="365" t="s">
        <v>78</v>
      </c>
      <c r="K10" s="365"/>
      <c r="L10" s="211">
        <f>'Summary Data'!$H$10</f>
        <v>0</v>
      </c>
      <c r="M10" s="365" t="s">
        <v>171</v>
      </c>
      <c r="N10" s="365"/>
      <c r="O10" s="302">
        <f>IF(L10,D7/L10,0)</f>
        <v>0</v>
      </c>
      <c r="Q10" s="33"/>
    </row>
    <row r="11" spans="2:18" ht="16.5" customHeight="1" thickBot="1">
      <c r="B11" s="387" t="s">
        <v>125</v>
      </c>
      <c r="C11" s="388"/>
      <c r="D11" s="142">
        <v>0.03</v>
      </c>
      <c r="E11" s="131"/>
      <c r="F11" s="138" t="s">
        <v>79</v>
      </c>
      <c r="G11" s="139" t="s">
        <v>73</v>
      </c>
      <c r="H11" s="210">
        <f>'Summary Data'!$H$26</f>
        <v>1.9547138248297287</v>
      </c>
      <c r="I11" s="136"/>
      <c r="J11" s="365" t="s">
        <v>170</v>
      </c>
      <c r="K11" s="365"/>
      <c r="L11" s="212" t="str">
        <f>'Staffing Expenses'!$K$9</f>
        <v>5</v>
      </c>
      <c r="M11" s="390" t="s">
        <v>176</v>
      </c>
      <c r="N11" s="391"/>
      <c r="O11" s="391"/>
      <c r="Q11" s="33"/>
    </row>
    <row r="12" spans="2:18" ht="16.5" customHeight="1" thickBot="1">
      <c r="B12" s="143"/>
      <c r="C12" s="143"/>
      <c r="D12" s="144"/>
      <c r="E12" s="131"/>
      <c r="F12" s="145" t="s">
        <v>80</v>
      </c>
      <c r="G12" s="139" t="s">
        <v>73</v>
      </c>
      <c r="H12" s="210">
        <f>'Summary Data'!$F$41</f>
        <v>22.205739435217268</v>
      </c>
      <c r="J12" s="365" t="s">
        <v>169</v>
      </c>
      <c r="K12" s="365"/>
      <c r="L12" s="212" t="str">
        <f>'Staffing Expenses'!$K$17</f>
        <v>Unknown</v>
      </c>
      <c r="M12" s="390" t="s">
        <v>175</v>
      </c>
      <c r="N12" s="391"/>
      <c r="O12" s="391"/>
      <c r="Q12" s="33"/>
      <c r="R12" t="s">
        <v>38</v>
      </c>
    </row>
    <row r="13" spans="2:18" ht="16.5" customHeight="1" thickBot="1">
      <c r="B13" s="143"/>
      <c r="C13" s="143"/>
      <c r="D13" s="144"/>
      <c r="E13" s="131"/>
      <c r="F13" s="141"/>
      <c r="G13" s="146"/>
      <c r="H13" s="147"/>
      <c r="I13" s="147"/>
      <c r="J13" s="389" t="s">
        <v>81</v>
      </c>
      <c r="K13" s="389"/>
      <c r="L13" s="213">
        <f>IF(O9,D8/O9,0)</f>
        <v>5.9744294419882903E-2</v>
      </c>
      <c r="M13" s="353" t="s">
        <v>82</v>
      </c>
      <c r="N13" s="354"/>
      <c r="O13" s="355"/>
      <c r="Q13" s="33"/>
    </row>
    <row r="14" spans="2:18" ht="16.5" thickBot="1">
      <c r="B14" s="143"/>
      <c r="C14" s="143"/>
      <c r="D14" s="144"/>
      <c r="E14" s="131"/>
      <c r="H14" s="148"/>
      <c r="I14" s="148"/>
      <c r="J14" s="351" t="s">
        <v>83</v>
      </c>
      <c r="K14" s="352"/>
      <c r="L14" s="213">
        <f>IF(O10,D8/O10,0)</f>
        <v>0</v>
      </c>
      <c r="M14" s="353" t="s">
        <v>82</v>
      </c>
      <c r="N14" s="354"/>
      <c r="O14" s="355"/>
      <c r="Q14" s="33"/>
    </row>
    <row r="15" spans="2:18" ht="16.5" thickBot="1">
      <c r="B15" s="356"/>
      <c r="C15" s="356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Q15" s="33"/>
    </row>
    <row r="16" spans="2:18" ht="31.5" customHeight="1" thickBot="1">
      <c r="B16" s="357"/>
      <c r="C16" s="358"/>
      <c r="D16" s="149" t="s">
        <v>263</v>
      </c>
      <c r="E16" s="384"/>
      <c r="F16" s="385"/>
      <c r="G16" s="385"/>
      <c r="H16" s="385"/>
      <c r="I16" s="385"/>
      <c r="J16" s="385"/>
      <c r="K16" s="385"/>
      <c r="L16" s="385"/>
      <c r="M16" s="385"/>
      <c r="N16" s="385"/>
      <c r="O16" s="382" t="s">
        <v>177</v>
      </c>
      <c r="Q16" s="33"/>
    </row>
    <row r="17" spans="2:17" ht="24.75" customHeight="1" thickBot="1">
      <c r="B17" s="359" t="s">
        <v>251</v>
      </c>
      <c r="C17" s="360"/>
      <c r="D17" s="150"/>
      <c r="E17" s="150" t="s">
        <v>130</v>
      </c>
      <c r="F17" s="150" t="s">
        <v>131</v>
      </c>
      <c r="G17" s="150" t="s">
        <v>132</v>
      </c>
      <c r="H17" s="150" t="s">
        <v>133</v>
      </c>
      <c r="I17" s="150" t="s">
        <v>134</v>
      </c>
      <c r="J17" s="150" t="s">
        <v>135</v>
      </c>
      <c r="K17" s="150" t="s">
        <v>136</v>
      </c>
      <c r="L17" s="150" t="s">
        <v>137</v>
      </c>
      <c r="M17" s="150" t="s">
        <v>138</v>
      </c>
      <c r="N17" s="151" t="s">
        <v>140</v>
      </c>
      <c r="O17" s="383"/>
      <c r="P17" s="33"/>
    </row>
    <row r="18" spans="2:17" ht="31.5" hidden="1" customHeight="1" thickBot="1">
      <c r="B18" s="386" t="s">
        <v>129</v>
      </c>
      <c r="C18" s="386"/>
      <c r="D18" s="152" t="str">
        <f>IFERROR(VLOOKUP($O$4,'Campuswide Expenses'!B7:N13,13,0),"")</f>
        <v/>
      </c>
      <c r="E18" s="153" t="e">
        <f>D18*(1+#REF!)</f>
        <v>#VALUE!</v>
      </c>
      <c r="F18" s="153" t="e">
        <f>E18*(1+#REF!)</f>
        <v>#VALUE!</v>
      </c>
      <c r="G18" s="153" t="e">
        <f>F18*(1+#REF!)</f>
        <v>#VALUE!</v>
      </c>
      <c r="H18" s="153" t="e">
        <f>G18*(1+#REF!)</f>
        <v>#VALUE!</v>
      </c>
      <c r="I18" s="153" t="e">
        <f>H18*(1+#REF!)</f>
        <v>#VALUE!</v>
      </c>
      <c r="J18" s="153" t="e">
        <f>I18*(1+#REF!)</f>
        <v>#VALUE!</v>
      </c>
      <c r="K18" s="153" t="e">
        <f>J18*(1+#REF!)</f>
        <v>#VALUE!</v>
      </c>
      <c r="L18" s="153" t="e">
        <f>K18*(1+#REF!)</f>
        <v>#VALUE!</v>
      </c>
      <c r="M18" s="153" t="e">
        <f>L18*(1+#REF!)</f>
        <v>#VALUE!</v>
      </c>
      <c r="N18" s="154" t="e">
        <f>M18*(1+#REF!)</f>
        <v>#VALUE!</v>
      </c>
      <c r="O18" s="155"/>
      <c r="P18" s="33"/>
    </row>
    <row r="19" spans="2:17" ht="23.25" hidden="1" customHeight="1" thickBot="1">
      <c r="B19" s="361" t="s">
        <v>127</v>
      </c>
      <c r="C19" s="361"/>
      <c r="D19" s="156">
        <f>IFERROR(VLOOKUP($O$4,'Campuswide Expenses'!B7:P13,15,0),"")</f>
        <v>35</v>
      </c>
      <c r="E19" s="156">
        <f>(D19)</f>
        <v>35</v>
      </c>
      <c r="F19" s="156">
        <f>(E19)</f>
        <v>35</v>
      </c>
      <c r="G19" s="156">
        <f t="shared" ref="G19:N19" si="0">(F19)</f>
        <v>35</v>
      </c>
      <c r="H19" s="156">
        <f t="shared" si="0"/>
        <v>35</v>
      </c>
      <c r="I19" s="156">
        <f t="shared" si="0"/>
        <v>35</v>
      </c>
      <c r="J19" s="156">
        <f t="shared" si="0"/>
        <v>35</v>
      </c>
      <c r="K19" s="156">
        <f t="shared" si="0"/>
        <v>35</v>
      </c>
      <c r="L19" s="156">
        <f t="shared" si="0"/>
        <v>35</v>
      </c>
      <c r="M19" s="156">
        <f t="shared" si="0"/>
        <v>35</v>
      </c>
      <c r="N19" s="157">
        <f t="shared" si="0"/>
        <v>35</v>
      </c>
      <c r="O19" s="155"/>
      <c r="P19" s="33"/>
    </row>
    <row r="20" spans="2:17" ht="23.25" hidden="1" customHeight="1" thickBot="1">
      <c r="B20" s="346" t="s">
        <v>128</v>
      </c>
      <c r="C20" s="347"/>
      <c r="D20" s="158" t="e">
        <f>SUM(D18*D19)/100</f>
        <v>#VALUE!</v>
      </c>
      <c r="E20" s="158" t="e">
        <f t="shared" ref="E20:N20" si="1">SUM(E18*E19)/100</f>
        <v>#VALUE!</v>
      </c>
      <c r="F20" s="158" t="e">
        <f t="shared" si="1"/>
        <v>#VALUE!</v>
      </c>
      <c r="G20" s="158" t="e">
        <f t="shared" si="1"/>
        <v>#VALUE!</v>
      </c>
      <c r="H20" s="158" t="e">
        <f t="shared" si="1"/>
        <v>#VALUE!</v>
      </c>
      <c r="I20" s="158" t="e">
        <f t="shared" si="1"/>
        <v>#VALUE!</v>
      </c>
      <c r="J20" s="158" t="e">
        <f t="shared" si="1"/>
        <v>#VALUE!</v>
      </c>
      <c r="K20" s="158" t="e">
        <f t="shared" si="1"/>
        <v>#VALUE!</v>
      </c>
      <c r="L20" s="158" t="e">
        <f t="shared" si="1"/>
        <v>#VALUE!</v>
      </c>
      <c r="M20" s="158" t="e">
        <f t="shared" si="1"/>
        <v>#VALUE!</v>
      </c>
      <c r="N20" s="159" t="e">
        <f t="shared" si="1"/>
        <v>#VALUE!</v>
      </c>
      <c r="O20" s="155"/>
      <c r="P20" s="33"/>
    </row>
    <row r="21" spans="2:17" ht="24" hidden="1" customHeight="1" thickBot="1">
      <c r="B21" s="348" t="s">
        <v>98</v>
      </c>
      <c r="C21" s="349"/>
      <c r="D21" s="158" t="e">
        <f>(D18)-(D20)</f>
        <v>#VALUE!</v>
      </c>
      <c r="E21" s="158" t="e">
        <f t="shared" ref="E21:N21" si="2">(E18)-(E20)</f>
        <v>#VALUE!</v>
      </c>
      <c r="F21" s="158" t="e">
        <f t="shared" si="2"/>
        <v>#VALUE!</v>
      </c>
      <c r="G21" s="158" t="e">
        <f t="shared" si="2"/>
        <v>#VALUE!</v>
      </c>
      <c r="H21" s="158" t="e">
        <f t="shared" si="2"/>
        <v>#VALUE!</v>
      </c>
      <c r="I21" s="158" t="e">
        <f t="shared" si="2"/>
        <v>#VALUE!</v>
      </c>
      <c r="J21" s="158" t="e">
        <f t="shared" si="2"/>
        <v>#VALUE!</v>
      </c>
      <c r="K21" s="158" t="e">
        <f t="shared" si="2"/>
        <v>#VALUE!</v>
      </c>
      <c r="L21" s="158" t="e">
        <f t="shared" si="2"/>
        <v>#VALUE!</v>
      </c>
      <c r="M21" s="158" t="e">
        <f t="shared" si="2"/>
        <v>#VALUE!</v>
      </c>
      <c r="N21" s="159" t="e">
        <f t="shared" si="2"/>
        <v>#VALUE!</v>
      </c>
      <c r="O21" s="155"/>
      <c r="Q21" s="33"/>
    </row>
    <row r="22" spans="2:17" ht="16.5" thickBot="1">
      <c r="B22" s="348" t="s">
        <v>149</v>
      </c>
      <c r="C22" s="350"/>
      <c r="D22" s="192">
        <f>H8*D8</f>
        <v>3723.9383438881587</v>
      </c>
      <c r="E22" s="193">
        <f t="shared" ref="E22:N22" si="3">D22*(1+$D$9)</f>
        <v>3872.8958776436853</v>
      </c>
      <c r="F22" s="193">
        <f t="shared" si="3"/>
        <v>4027.8117127494329</v>
      </c>
      <c r="G22" s="193">
        <f t="shared" si="3"/>
        <v>4188.92418125941</v>
      </c>
      <c r="H22" s="193">
        <f t="shared" si="3"/>
        <v>4356.4811485097862</v>
      </c>
      <c r="I22" s="193">
        <f t="shared" si="3"/>
        <v>4530.7403944501775</v>
      </c>
      <c r="J22" s="193">
        <f t="shared" si="3"/>
        <v>4711.9700102281849</v>
      </c>
      <c r="K22" s="193">
        <f t="shared" si="3"/>
        <v>4900.4488106373128</v>
      </c>
      <c r="L22" s="193">
        <f t="shared" si="3"/>
        <v>5096.4667630628055</v>
      </c>
      <c r="M22" s="193">
        <f t="shared" si="3"/>
        <v>5300.325433585318</v>
      </c>
      <c r="N22" s="194">
        <f t="shared" si="3"/>
        <v>5512.3384509287307</v>
      </c>
      <c r="O22" s="195">
        <f>SUM(E22:N22)</f>
        <v>46498.402783054844</v>
      </c>
      <c r="Q22" s="33"/>
    </row>
    <row r="23" spans="2:17" ht="16.5" customHeight="1" thickBot="1">
      <c r="B23" s="348" t="s">
        <v>150</v>
      </c>
      <c r="C23" s="350"/>
      <c r="D23" s="196">
        <f>H9*D8</f>
        <v>178.19094276496594</v>
      </c>
      <c r="E23" s="197">
        <f t="shared" ref="E23:N23" si="4">D23*(1+$D$9)</f>
        <v>185.31858047556457</v>
      </c>
      <c r="F23" s="197">
        <f t="shared" si="4"/>
        <v>192.73132369458716</v>
      </c>
      <c r="G23" s="197">
        <f t="shared" si="4"/>
        <v>200.44057664237064</v>
      </c>
      <c r="H23" s="197">
        <f t="shared" si="4"/>
        <v>208.45819970806548</v>
      </c>
      <c r="I23" s="197">
        <f t="shared" si="4"/>
        <v>216.7965276963881</v>
      </c>
      <c r="J23" s="197">
        <f t="shared" si="4"/>
        <v>225.46838880424363</v>
      </c>
      <c r="K23" s="197">
        <f t="shared" si="4"/>
        <v>234.48712435641337</v>
      </c>
      <c r="L23" s="197">
        <f t="shared" si="4"/>
        <v>243.86660933066992</v>
      </c>
      <c r="M23" s="197">
        <f t="shared" si="4"/>
        <v>253.62127370389672</v>
      </c>
      <c r="N23" s="198">
        <f t="shared" si="4"/>
        <v>263.76612465205261</v>
      </c>
      <c r="O23" s="195">
        <f>SUM(E23:N23)</f>
        <v>2224.9547290642522</v>
      </c>
      <c r="Q23" s="33"/>
    </row>
    <row r="24" spans="2:17" ht="16.5" thickBot="1">
      <c r="B24" s="348" t="s">
        <v>147</v>
      </c>
      <c r="C24" s="350"/>
      <c r="D24" s="196">
        <f>H10*D8</f>
        <v>198.40220385674931</v>
      </c>
      <c r="E24" s="197">
        <f t="shared" ref="E24:N24" si="5">D24*(1+$D$9)</f>
        <v>206.33829201101929</v>
      </c>
      <c r="F24" s="197">
        <f t="shared" si="5"/>
        <v>214.59182369146006</v>
      </c>
      <c r="G24" s="197">
        <f t="shared" si="5"/>
        <v>223.17549663911848</v>
      </c>
      <c r="H24" s="197">
        <f t="shared" si="5"/>
        <v>232.10251650468322</v>
      </c>
      <c r="I24" s="197">
        <f t="shared" si="5"/>
        <v>241.38661716487056</v>
      </c>
      <c r="J24" s="197">
        <f t="shared" si="5"/>
        <v>251.04208185146538</v>
      </c>
      <c r="K24" s="197">
        <f t="shared" si="5"/>
        <v>261.083765125524</v>
      </c>
      <c r="L24" s="197">
        <f t="shared" si="5"/>
        <v>271.52711573054495</v>
      </c>
      <c r="M24" s="197">
        <f t="shared" si="5"/>
        <v>282.38820035976676</v>
      </c>
      <c r="N24" s="198">
        <f t="shared" si="5"/>
        <v>293.68372837415745</v>
      </c>
      <c r="O24" s="195">
        <f>SUM(E24:N24)</f>
        <v>2477.3196374526101</v>
      </c>
      <c r="Q24" s="33"/>
    </row>
    <row r="25" spans="2:17" ht="16.5" thickBot="1">
      <c r="B25" s="348" t="s">
        <v>97</v>
      </c>
      <c r="C25" s="350"/>
      <c r="D25" s="199">
        <f>H11*D8</f>
        <v>5864.1414744891863</v>
      </c>
      <c r="E25" s="197">
        <f t="shared" ref="E25:N25" si="6">D25*(1+$D$10)</f>
        <v>6040.0657187238621</v>
      </c>
      <c r="F25" s="197">
        <f t="shared" si="6"/>
        <v>6221.2676902855783</v>
      </c>
      <c r="G25" s="197">
        <f t="shared" si="6"/>
        <v>6407.9057209941457</v>
      </c>
      <c r="H25" s="197">
        <f t="shared" si="6"/>
        <v>6600.1428926239705</v>
      </c>
      <c r="I25" s="197">
        <f t="shared" si="6"/>
        <v>6798.1471794026902</v>
      </c>
      <c r="J25" s="197">
        <f t="shared" si="6"/>
        <v>7002.0915947847707</v>
      </c>
      <c r="K25" s="197">
        <f t="shared" si="6"/>
        <v>7212.1543426283142</v>
      </c>
      <c r="L25" s="197">
        <f t="shared" si="6"/>
        <v>7428.5189729071635</v>
      </c>
      <c r="M25" s="197">
        <f t="shared" si="6"/>
        <v>7651.3745420943787</v>
      </c>
      <c r="N25" s="198">
        <f t="shared" si="6"/>
        <v>7880.91577835721</v>
      </c>
      <c r="O25" s="195">
        <f>SUM(E25:N25)</f>
        <v>69242.58443280209</v>
      </c>
      <c r="Q25" s="33"/>
    </row>
    <row r="26" spans="2:17" ht="16.5" thickBot="1">
      <c r="B26" s="348" t="s">
        <v>99</v>
      </c>
      <c r="C26" s="350"/>
      <c r="D26" s="200">
        <f>H12*D8</f>
        <v>66617.218305651797</v>
      </c>
      <c r="E26" s="201">
        <f t="shared" ref="E26:N26" si="7">D26*(1+$D$11)</f>
        <v>68615.734854821349</v>
      </c>
      <c r="F26" s="201">
        <f t="shared" si="7"/>
        <v>70674.206900465986</v>
      </c>
      <c r="G26" s="201">
        <f t="shared" si="7"/>
        <v>72794.43310747997</v>
      </c>
      <c r="H26" s="201">
        <f t="shared" si="7"/>
        <v>74978.266100704364</v>
      </c>
      <c r="I26" s="201">
        <f t="shared" si="7"/>
        <v>77227.614083725493</v>
      </c>
      <c r="J26" s="201">
        <f t="shared" si="7"/>
        <v>79544.442506237261</v>
      </c>
      <c r="K26" s="201">
        <f t="shared" si="7"/>
        <v>81930.775781424381</v>
      </c>
      <c r="L26" s="201">
        <f t="shared" si="7"/>
        <v>84388.699054867117</v>
      </c>
      <c r="M26" s="201">
        <f t="shared" si="7"/>
        <v>86920.360026513139</v>
      </c>
      <c r="N26" s="202">
        <f t="shared" si="7"/>
        <v>89527.970827308542</v>
      </c>
      <c r="O26" s="195">
        <f>SUM(E26:N26)</f>
        <v>786602.50324354763</v>
      </c>
      <c r="Q26" s="33"/>
    </row>
    <row r="27" spans="2:17" ht="16.5" customHeight="1" thickBot="1">
      <c r="B27" s="346" t="s">
        <v>249</v>
      </c>
      <c r="C27" s="347"/>
      <c r="D27" s="203">
        <f>SUM(D22:D26)</f>
        <v>76581.891270650856</v>
      </c>
      <c r="E27" s="203">
        <f>SUM(E22:E26)</f>
        <v>78920.353323675474</v>
      </c>
      <c r="F27" s="203">
        <f t="shared" ref="F27:N27" si="8">SUM(F22:F26)</f>
        <v>81330.609450887045</v>
      </c>
      <c r="G27" s="203">
        <f t="shared" si="8"/>
        <v>83814.87908301501</v>
      </c>
      <c r="H27" s="203">
        <f t="shared" si="8"/>
        <v>86375.45085805087</v>
      </c>
      <c r="I27" s="203">
        <f t="shared" si="8"/>
        <v>89014.684802439617</v>
      </c>
      <c r="J27" s="203">
        <f t="shared" si="8"/>
        <v>91735.014581905925</v>
      </c>
      <c r="K27" s="203">
        <f t="shared" si="8"/>
        <v>94538.949824171941</v>
      </c>
      <c r="L27" s="203">
        <f t="shared" si="8"/>
        <v>97429.078515898305</v>
      </c>
      <c r="M27" s="203">
        <f t="shared" si="8"/>
        <v>100408.0694762565</v>
      </c>
      <c r="N27" s="204">
        <f t="shared" si="8"/>
        <v>103478.67490962069</v>
      </c>
      <c r="O27" s="195">
        <f>SUM(O22:O26)</f>
        <v>907045.76482592139</v>
      </c>
      <c r="Q27" s="33"/>
    </row>
    <row r="28" spans="2:17" ht="6.75" customHeight="1" thickBot="1">
      <c r="B28" s="342"/>
      <c r="C28" s="343"/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4"/>
      <c r="Q28" s="33"/>
    </row>
    <row r="29" spans="2:17" ht="33.75" hidden="1" customHeight="1" thickBot="1">
      <c r="B29" s="375"/>
      <c r="C29" s="376"/>
      <c r="D29" s="165" t="e">
        <f>(#REF!)</f>
        <v>#REF!</v>
      </c>
      <c r="E29" s="160" t="e">
        <f>(D29 + D30)*1.06</f>
        <v>#REF!</v>
      </c>
      <c r="F29" s="160" t="e">
        <f>(E29 + E30)*1.06</f>
        <v>#REF!</v>
      </c>
      <c r="G29" s="160" t="e">
        <f t="shared" ref="G29:N29" si="9">(F29 + F30)*1.06</f>
        <v>#REF!</v>
      </c>
      <c r="H29" s="160" t="e">
        <f t="shared" si="9"/>
        <v>#REF!</v>
      </c>
      <c r="I29" s="160" t="e">
        <f t="shared" si="9"/>
        <v>#REF!</v>
      </c>
      <c r="J29" s="160" t="e">
        <f t="shared" si="9"/>
        <v>#REF!</v>
      </c>
      <c r="K29" s="160" t="e">
        <f t="shared" si="9"/>
        <v>#REF!</v>
      </c>
      <c r="L29" s="160" t="e">
        <f t="shared" si="9"/>
        <v>#REF!</v>
      </c>
      <c r="M29" s="160" t="e">
        <f t="shared" si="9"/>
        <v>#REF!</v>
      </c>
      <c r="N29" s="161" t="e">
        <f t="shared" si="9"/>
        <v>#REF!</v>
      </c>
      <c r="O29" s="155" t="s">
        <v>145</v>
      </c>
      <c r="Q29" s="33"/>
    </row>
    <row r="30" spans="2:17" ht="34.5" customHeight="1" thickBot="1">
      <c r="B30" s="344" t="s">
        <v>178</v>
      </c>
      <c r="C30" s="345"/>
      <c r="D30" s="428"/>
      <c r="E30" s="48"/>
      <c r="F30" s="48"/>
      <c r="G30" s="48"/>
      <c r="H30" s="48"/>
      <c r="I30" s="48"/>
      <c r="J30" s="48"/>
      <c r="K30" s="48"/>
      <c r="L30" s="48"/>
      <c r="M30" s="48"/>
      <c r="N30" s="49"/>
      <c r="O30" s="166">
        <f>SUM(E30:N30)</f>
        <v>0</v>
      </c>
      <c r="Q30" s="33"/>
    </row>
    <row r="31" spans="2:17" ht="16.5" customHeight="1" thickBot="1">
      <c r="B31" s="346" t="s">
        <v>250</v>
      </c>
      <c r="C31" s="347"/>
      <c r="D31" s="205">
        <f>SUM(D27+D30)</f>
        <v>76581.891270650856</v>
      </c>
      <c r="E31" s="205">
        <f t="shared" ref="E31:O31" si="10">SUM(E27+E30)</f>
        <v>78920.353323675474</v>
      </c>
      <c r="F31" s="205">
        <f t="shared" si="10"/>
        <v>81330.609450887045</v>
      </c>
      <c r="G31" s="205">
        <f t="shared" si="10"/>
        <v>83814.87908301501</v>
      </c>
      <c r="H31" s="205">
        <f t="shared" si="10"/>
        <v>86375.45085805087</v>
      </c>
      <c r="I31" s="205">
        <f t="shared" si="10"/>
        <v>89014.684802439617</v>
      </c>
      <c r="J31" s="205">
        <f t="shared" si="10"/>
        <v>91735.014581905925</v>
      </c>
      <c r="K31" s="205">
        <f t="shared" si="10"/>
        <v>94538.949824171941</v>
      </c>
      <c r="L31" s="205">
        <f t="shared" si="10"/>
        <v>97429.078515898305</v>
      </c>
      <c r="M31" s="205">
        <f t="shared" si="10"/>
        <v>100408.0694762565</v>
      </c>
      <c r="N31" s="206">
        <f t="shared" si="10"/>
        <v>103478.67490962069</v>
      </c>
      <c r="O31" s="207">
        <f t="shared" si="10"/>
        <v>907045.76482592139</v>
      </c>
      <c r="Q31" s="33"/>
    </row>
    <row r="32" spans="2:17" ht="16.5" thickBot="1">
      <c r="B32" s="167"/>
      <c r="C32" s="168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70"/>
      <c r="Q32" s="33"/>
    </row>
    <row r="33" spans="2:17" ht="26.25" customHeight="1">
      <c r="B33" s="374" t="s">
        <v>179</v>
      </c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3"/>
    </row>
    <row r="34" spans="2:17">
      <c r="B34" s="429" t="s">
        <v>260</v>
      </c>
      <c r="C34" s="429"/>
      <c r="D34" s="429"/>
      <c r="E34" s="429"/>
      <c r="Q34" s="33"/>
    </row>
    <row r="35" spans="2:17">
      <c r="Q35" s="33"/>
    </row>
    <row r="36" spans="2:17">
      <c r="Q36" s="33"/>
    </row>
    <row r="37" spans="2:17">
      <c r="Q37" s="33"/>
    </row>
    <row r="38" spans="2:17">
      <c r="Q38" s="33"/>
    </row>
    <row r="39" spans="2:17">
      <c r="Q39" s="33"/>
    </row>
  </sheetData>
  <sheetProtection algorithmName="SHA-512" hashValue="Rv/wlxVbzOXPnVitKC9XHEvZlkkP4Z6SMTwUm6GpGyXPo4bFtWFYV9frzi7uJMn6tAYoWO9AeAL41XwGSTgo2g==" saltValue="oGTs0I87N4jTtwMqneenYw==" spinCount="100000" sheet="1" objects="1" scenarios="1"/>
  <mergeCells count="44">
    <mergeCell ref="B34:E34"/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28:C28"/>
    <mergeCell ref="B30:C30"/>
    <mergeCell ref="B31:C31"/>
    <mergeCell ref="B21:C21"/>
    <mergeCell ref="B22:C2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Expenses'!$B$7:$B$13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 codeName="Sheet4">
    <pageSetUpPr fitToPage="1"/>
  </sheetPr>
  <dimension ref="B1:AL25"/>
  <sheetViews>
    <sheetView zoomScale="85" zoomScaleNormal="85" workbookViewId="0">
      <selection activeCell="C26" sqref="C26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4" hidden="1" customWidth="1"/>
    <col min="11" max="11" width="11.5703125" style="4" hidden="1" customWidth="1"/>
    <col min="12" max="12" width="9.140625" style="4" hidden="1" customWidth="1"/>
    <col min="13" max="13" width="19.140625" style="4" hidden="1" customWidth="1"/>
    <col min="14" max="14" width="14.7109375" hidden="1" customWidth="1"/>
    <col min="15" max="15" width="16.140625" hidden="1" customWidth="1"/>
    <col min="16" max="16" width="11.7109375" hidden="1" customWidth="1"/>
    <col min="17" max="18" width="10.710937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399" t="s">
        <v>252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1"/>
    </row>
    <row r="3" spans="2:38" ht="27" thickBot="1">
      <c r="B3" s="394" t="str">
        <f>'Summary Data'!$A$1</f>
        <v>Centennial Education Center</v>
      </c>
      <c r="C3" s="395"/>
      <c r="D3" s="395"/>
      <c r="E3" s="395"/>
      <c r="F3" s="395"/>
      <c r="G3" s="395"/>
      <c r="H3" s="39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59" t="s">
        <v>264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402" t="str">
        <f>'Summary Data'!$D$1</f>
        <v>2020-2021</v>
      </c>
      <c r="AL3" s="403"/>
    </row>
    <row r="4" spans="2:38" ht="9.75" hidden="1" customHeight="1" thickBot="1"/>
    <row r="5" spans="2:38" ht="63" customHeight="1" thickBot="1">
      <c r="B5" s="22" t="s">
        <v>41</v>
      </c>
      <c r="C5" s="22" t="s">
        <v>42</v>
      </c>
      <c r="D5" s="22" t="s">
        <v>43</v>
      </c>
      <c r="E5" s="22" t="s">
        <v>44</v>
      </c>
      <c r="F5" s="22" t="s">
        <v>45</v>
      </c>
      <c r="G5" s="22" t="s">
        <v>46</v>
      </c>
      <c r="H5" s="22" t="s">
        <v>47</v>
      </c>
      <c r="I5" s="23" t="s">
        <v>48</v>
      </c>
      <c r="J5" s="23" t="s">
        <v>49</v>
      </c>
      <c r="K5" s="23" t="s">
        <v>50</v>
      </c>
      <c r="L5" s="23" t="s">
        <v>51</v>
      </c>
      <c r="M5" s="23" t="s">
        <v>52</v>
      </c>
      <c r="N5" s="22" t="s">
        <v>53</v>
      </c>
      <c r="O5" s="22" t="s">
        <v>54</v>
      </c>
      <c r="P5" s="22" t="s">
        <v>55</v>
      </c>
      <c r="Q5" s="22" t="s">
        <v>31</v>
      </c>
      <c r="R5" s="22" t="s">
        <v>32</v>
      </c>
      <c r="S5" s="22" t="s">
        <v>146</v>
      </c>
      <c r="T5" s="22" t="s">
        <v>30</v>
      </c>
      <c r="U5" s="22" t="s">
        <v>34</v>
      </c>
      <c r="V5" s="22" t="s">
        <v>33</v>
      </c>
      <c r="W5" s="24" t="s">
        <v>265</v>
      </c>
      <c r="X5" s="25" t="s">
        <v>100</v>
      </c>
      <c r="Y5" s="25" t="s">
        <v>101</v>
      </c>
      <c r="Z5" s="25" t="s">
        <v>102</v>
      </c>
      <c r="AA5" s="25" t="s">
        <v>103</v>
      </c>
      <c r="AB5" s="25" t="s">
        <v>172</v>
      </c>
      <c r="AC5" s="25" t="s">
        <v>105</v>
      </c>
      <c r="AD5" s="25" t="s">
        <v>106</v>
      </c>
      <c r="AE5" s="25" t="s">
        <v>102</v>
      </c>
      <c r="AF5" s="25" t="s">
        <v>103</v>
      </c>
      <c r="AG5" s="25" t="s">
        <v>172</v>
      </c>
      <c r="AH5" s="25" t="s">
        <v>105</v>
      </c>
      <c r="AI5" s="25" t="s">
        <v>106</v>
      </c>
      <c r="AJ5" s="282" t="s">
        <v>200</v>
      </c>
      <c r="AK5" s="24" t="s">
        <v>253</v>
      </c>
      <c r="AL5" s="24" t="s">
        <v>254</v>
      </c>
    </row>
    <row r="6" spans="2:38" ht="15.75" thickBot="1">
      <c r="B6" s="26" t="s">
        <v>56</v>
      </c>
      <c r="C6" s="27"/>
      <c r="D6" s="27"/>
      <c r="E6" s="27"/>
      <c r="F6" s="27"/>
      <c r="G6" s="45"/>
      <c r="H6" s="42"/>
      <c r="I6" s="28"/>
      <c r="J6" s="29"/>
      <c r="K6" s="30"/>
      <c r="L6" s="30"/>
      <c r="M6" s="31" t="s">
        <v>57</v>
      </c>
      <c r="N6" s="409" t="s">
        <v>58</v>
      </c>
      <c r="O6" s="410"/>
      <c r="P6" s="396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8"/>
    </row>
    <row r="7" spans="2:38" ht="15.75">
      <c r="B7" s="227" t="s">
        <v>59</v>
      </c>
      <c r="C7" s="8" t="s">
        <v>209</v>
      </c>
      <c r="D7" s="32">
        <v>1980</v>
      </c>
      <c r="E7" s="306"/>
      <c r="F7" s="307">
        <v>9224</v>
      </c>
      <c r="G7" s="308">
        <v>7435</v>
      </c>
      <c r="H7" s="229">
        <v>0.65859999999999996</v>
      </c>
      <c r="I7" s="230">
        <v>112</v>
      </c>
      <c r="J7" s="231">
        <v>1272</v>
      </c>
      <c r="K7" s="232"/>
      <c r="L7" s="232" t="s">
        <v>59</v>
      </c>
      <c r="M7" s="233">
        <f>'FUSION Assessment'!$F$4</f>
        <v>4357140.88</v>
      </c>
      <c r="N7" s="234" t="str">
        <f>IFERROR(VLOOKUP($AK$3,'Summary Data'!#REF!,2,0),"")</f>
        <v/>
      </c>
      <c r="O7" s="228" t="e">
        <f>N7*80%</f>
        <v>#VALUE!</v>
      </c>
      <c r="P7" s="235">
        <v>80</v>
      </c>
      <c r="Q7" s="171">
        <f t="shared" ref="Q7:Q13" si="0">(F7)*$H$18</f>
        <v>11997.74684669614</v>
      </c>
      <c r="R7" s="171">
        <f t="shared" ref="R7:R13" si="1">F7*$H$19</f>
        <v>610.02064279155184</v>
      </c>
      <c r="S7" s="171">
        <f>SUM(Q7:R7)</f>
        <v>12607.767489487691</v>
      </c>
      <c r="T7" s="171">
        <f t="shared" ref="T7:T13" si="2">F7*$H$20</f>
        <v>18030.280320229416</v>
      </c>
      <c r="U7" s="172">
        <f t="shared" ref="U7:U13" si="3">F7*$H$21</f>
        <v>186795.46023021467</v>
      </c>
      <c r="V7" s="171">
        <f t="shared" ref="V7:V13" si="4">F7*$H$22</f>
        <v>18030.280320229416</v>
      </c>
      <c r="W7" s="171">
        <f>S7+T7+U7+V7</f>
        <v>235463.78836016118</v>
      </c>
      <c r="X7" s="173" t="e">
        <f t="shared" ref="X7:X13" si="5">N7*((1+5%)/1)^(10*1)</f>
        <v>#VALUE!</v>
      </c>
      <c r="Y7" s="174" t="e">
        <f>X7*80%</f>
        <v>#VALUE!</v>
      </c>
      <c r="Z7" s="173">
        <f>Q7*((1+4%)/1)^(1*1)+Q7*((1+4%)/1)^(2*1)+Q7*((1+4%)/1)^(3*1)+Q7*((1+4%)/1)^(4*1)+Q7*((1+4%)/1)^(5*1)+Q7*((1+4%)/1)^(6*1)+Q7*((1+4%)/1)^(7*1)+Q7*((1+4%)/1)^(8*1)+Q7*((1+4%)/1)^(9*1)+Q7*((1+4%)/1)^(10*1)</f>
        <v>149808.08323059551</v>
      </c>
      <c r="AA7" s="173">
        <f>R7*((1+4%)/1)^(1*1)+R7*((1+4%)/1)^(2*1)+R7*((1+4%)/1)^(3*1)+R7*((1+4%)/1)^(4*1)+R7*((1+4%)/1)^(5*1)+R7*((1+4%)/1)^(6*1)+R7*((1+4%)/1)^(7*1)+R7*((1+4%)/1)^(8*1)+R7*((1+4%)/1)^(9*1)+R7*((1+4%)/1)^(10*1)</f>
        <v>7616.9321119542919</v>
      </c>
      <c r="AB7" s="173">
        <f>T7*((1+3%)/1)^(1*1)+T7*((1+3%)/1)^(2*1)+T7*((1+3%)/1)^(3*1)+T7*((1+3%)/1)^(4*1)+T7*((1+3%)/1)^(5*1)+T7*((1+3%)/1)^(6*1)+T7*((1+3%)/1)^(7*1)+T7*((1+3%)/1)^(8*1)+T7*((1+3%)/1)^(9*1)+T7*((1+3%)/1)^(10*1)</f>
        <v>212897.86626938873</v>
      </c>
      <c r="AC7" s="173">
        <f>U7*((1+3%)/1)^(1*1)+U7*((1+3%)/1)^(2*1)+U7*((1+3%)/1)^(3*1)+U7*((1+3%)/1)^(4*1)+U7*((1+3%)/1)^(5*1)+U7*((1+3%)/1)^(6*1)+U7*((1+3%)/1)^(7*1)+U7*((1+3%)/1)^(8*1)+U7*((1+3%)/1)^(9*1)+U7*((1+3%)/1)^(10*1)</f>
        <v>2205642.6303701056</v>
      </c>
      <c r="AD7" s="173">
        <f>V7*((1+3%)/1)^(1*1)+V7*((1+3%)/1)^(2*1)+V7*((1+3%)/1)^(3*1)+V7*((1+3%)/1)^(4*1)+V7*((1+3%)/1)^(5*1)+V7*((1+3%)/1)^(6*1)+V7*((1+3%)/1)^(7*1)+V7*((1+3%)/1)^(8*1)+V7*((1+3%)/1)^(9*1)+V7*((1+3%)/1)^(10*1)</f>
        <v>212897.86626938873</v>
      </c>
      <c r="AE7" s="173">
        <f t="shared" ref="AE7:AE13" si="6"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769*1)+Q7*((1+4%)/1)^(15*1)+Q7*((1+4%)/1)^(16*1)+Q7*((1+4%)/1)^(17*1)+Q7*((1+4%)/1)^(18*1)+Q7*((1+4%)/1)^(19*1)+Q7*((1+4%)/1)^(20*1)</f>
        <v>362782.1734752279</v>
      </c>
      <c r="AF7" s="173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18891.852339285648</v>
      </c>
      <c r="AG7" s="173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558383.38828493713</v>
      </c>
      <c r="AH7" s="173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5784906.2880384764</v>
      </c>
      <c r="AI7" s="173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558383.38828493713</v>
      </c>
      <c r="AJ7" s="173">
        <f>IF('Expenses by Building'!$O$4=B7,'Expenses by Building'!$O$30,0)</f>
        <v>0</v>
      </c>
      <c r="AK7" s="171">
        <f>Z7+AA7+AB7+AC7+AD7+AJ7</f>
        <v>2788863.3782514329</v>
      </c>
      <c r="AL7" s="171">
        <f>AE7+AF7+AG7+AH7+AI7+AJ7</f>
        <v>7283347.0904228641</v>
      </c>
    </row>
    <row r="8" spans="2:38">
      <c r="B8" s="236" t="s">
        <v>60</v>
      </c>
      <c r="C8" s="8" t="s">
        <v>210</v>
      </c>
      <c r="D8" s="2">
        <v>1980</v>
      </c>
      <c r="E8" s="303"/>
      <c r="F8" s="304">
        <v>5160</v>
      </c>
      <c r="G8" s="305">
        <v>4687</v>
      </c>
      <c r="H8" s="237">
        <v>0.71409999999999996</v>
      </c>
      <c r="I8" s="238">
        <v>34</v>
      </c>
      <c r="J8" s="238">
        <v>768</v>
      </c>
      <c r="K8" s="239"/>
      <c r="L8" s="239" t="s">
        <v>59</v>
      </c>
      <c r="M8" s="233">
        <f>'FUSION Assessment'!$F$5</f>
        <v>2437429.2000000002</v>
      </c>
      <c r="N8" s="234" t="str">
        <f>IFERROR(VLOOKUP($AK$3,'Summary Data'!#REF!,3,0),"")</f>
        <v/>
      </c>
      <c r="O8" s="228" t="e">
        <f>N8*80%</f>
        <v>#VALUE!</v>
      </c>
      <c r="P8" s="236">
        <v>80</v>
      </c>
      <c r="Q8" s="171">
        <f t="shared" si="0"/>
        <v>6711.6623730433739</v>
      </c>
      <c r="R8" s="171">
        <f t="shared" si="1"/>
        <v>341.25179063360883</v>
      </c>
      <c r="S8" s="171">
        <f t="shared" ref="S8:S13" si="7">SUM(Q8:R8)</f>
        <v>7052.9141636769828</v>
      </c>
      <c r="T8" s="171">
        <f t="shared" si="2"/>
        <v>10086.323336121401</v>
      </c>
      <c r="U8" s="172">
        <f t="shared" si="3"/>
        <v>104495.2921495997</v>
      </c>
      <c r="V8" s="171">
        <f t="shared" si="4"/>
        <v>10086.323336121401</v>
      </c>
      <c r="W8" s="171">
        <f t="shared" ref="W8:W13" si="8">S8+T8+U8+V8</f>
        <v>131720.85298551948</v>
      </c>
      <c r="X8" s="173" t="e">
        <f t="shared" si="5"/>
        <v>#VALUE!</v>
      </c>
      <c r="Y8" s="174" t="e">
        <f t="shared" ref="Y8:Y14" si="9">X8*80%</f>
        <v>#VALUE!</v>
      </c>
      <c r="Z8" s="173">
        <f t="shared" ref="Z8:Z13" si="10">Q8*((1+4%)/1)^(1*1)+Q8*((1+4%)/1)^(2*1)+Q8*((1+4%)/1)^(3*1)+Q8*((1+4%)/1)^(4*1)+Q8*((1+4%)/1)^(5*1)+Q8*((1+4%)/1)^(6*1)+Q8*((1+4%)/1)^(7*1)+Q8*((1+4%)/1)^(8*1)+Q8*((1+4%)/1)^(9*1)+Q8*((1+4%)/1)^(10*1)</f>
        <v>83804.174920844845</v>
      </c>
      <c r="AA8" s="173">
        <f>R8*((1+4%)/1)^(1*1)+R8*((1+4%)/1)^(2*1)+R8*((1+4%)/1)^(3*1)+R8*((1+4%)/1)^(4*1)+R8*((1+4%)/1)^(5*1)+R8*((1+4%)/1)^(6*1)+R8*((1+4%)/1)^(7*1)+R8*((1+4%)/1)^(8*1)+R8*((1+4%)/1)^(9*1)+R8*((1+4%)/1)^(10*1)</f>
        <v>4260.9897764184907</v>
      </c>
      <c r="AB8" s="173">
        <f t="shared" ref="AB8:AB13" si="11">T8*((1+3%)/1)^(1*1)+T8*((1+3%)/1)^(2*1)+T8*((1+3%)/1)^(3*1)+T8*((1+3%)/1)^(4*1)+T8*((1+3%)/1)^(5*1)+T8*((1+3%)/1)^(6*1)+T8*((1+3%)/1)^(7*1)+T8*((1+3%)/1)^(8*1)+T8*((1+3%)/1)^(9*1)+T8*((1+3%)/1)^(10*1)</f>
        <v>119097.24522441957</v>
      </c>
      <c r="AC8" s="173">
        <f t="shared" ref="AC8:AC13" si="12">U8*((1+3%)/1)^(1*1)+U8*((1+3%)/1)^(2*1)+U8*((1+3%)/1)^(3*1)+U8*((1+3%)/1)^(4*1)+U8*((1+3%)/1)^(5*1)+U8*((1+3%)/1)^(6*1)+U8*((1+3%)/1)^(7*1)+U8*((1+3%)/1)^(8*1)+U8*((1+3%)/1)^(9*1)+U8*((1+3%)/1)^(10*1)</f>
        <v>1233859.0603544824</v>
      </c>
      <c r="AD8" s="173">
        <f t="shared" ref="AD8:AD13" si="13">V8*((1+3%)/1)^(1*1)+V8*((1+3%)/1)^(2*1)+V8*((1+3%)/1)^(3*1)+V8*((1+3%)/1)^(4*1)+V8*((1+3%)/1)^(5*1)+V8*((1+3%)/1)^(6*1)+V8*((1+3%)/1)^(7*1)+V8*((1+3%)/1)^(8*1)+V8*((1+3%)/1)^(9*1)+V8*((1+3%)/1)^(10*1)</f>
        <v>119097.24522441957</v>
      </c>
      <c r="AE8" s="173">
        <f t="shared" si="6"/>
        <v>202944.0606171049</v>
      </c>
      <c r="AF8" s="173">
        <f t="shared" ref="AF8:AF13" si="14">R8*((1+4%)/1)^(1*1)+R8*((1+4%)/1)^(2*1)+R8*((1+4%)/1)^(3*1)+R8*((1+4%)/1)^(4*1)+R8*((1+4%)/1)^(5*1)+R8*((1+4%)/1)^(6*1)+R8*((1+4%)/1)^(7*1)+R8*((1+4%)/1)^(8*1)+R8*((1+4%)/1)^(9*1)+R8*((1+4%)/1)^(10*1)+R8*((1+4%)/1)^(11*1)+R8*((1+4%)/1)^(12*1)+R8*((1+4%)/1)^(13*1)+R8*((1+4%)/1)^(14*1)+R8*((1+4%)/1)^(15*1)+R8*((1+4%)/1)^(16*1)+R8*((1+4%)/1)^(17*1)+R8*((1+4%)/1)^(18*1)+R8*((1+4%)/1)^(19*1)+R8*((1+4%)/1)^(20*1)</f>
        <v>10568.295541057456</v>
      </c>
      <c r="AG8" s="173">
        <f t="shared" ref="AG8:AG13" si="15">T8*((1+4%)/1)^(1*1)+T8*((1+4%)/1)^(2*1)+T8*((1+4%)/1)^(3*1)+T8*((1+4%)/1)^(4*1)+T8*((1+4%)/1)^(5*1)+T8*((1+4%)/1)^(6*1)+T8*((1+4%)/1)^(7*1)+T8*((1+4%)/1)^(8*1)+T8*((1+4%)/1)^(9*1)+T8*((1+4%)/1)^(10*1)+T8*((1+4%)/1)^(11*1)+T8*((1+4%)/1)^(12*1)+T8*((1+4%)/1)^(13*1)+T8*((1+4%)/1)^(14*1)+T8*((1+4%)/1)^(15*1)+T8*((1+4%)/1)^(16*1)+T8*((1+4%)/1)^(17*1)+T8*((1+4%)/1)^(18*1)+T8*((1+4%)/1)^(19*1)+T8*((1+4%)/1)^(20*1)</f>
        <v>312365.38199807855</v>
      </c>
      <c r="AH8" s="173">
        <f t="shared" ref="AH8:AH13" si="16">U8*((1+4%)/1)^(1*1)+U8*((1+4%)/1)^(2*1)+U8*((1+4%)/1)^(3*1)+U8*((1+4%)/1)^(4*1)+U8*((1+4%)/1)^(5*1)+U8*((1+4%)/1)^(6*1)+U8*((1+4%)/1)^(7*1)+U8*((1+4%)/1)^(8*1)+U8*((1+4%)/1)^(9*1)+U8*((1+4%)/1)^(10*1)+U8*((1+4%)/1)^(11*1)+U8*((1+4%)/1)^(12*1)+U8*((1+4%)/1)^(13*1)+U8*((1+4%)/1)^(14*1)+U8*((1+4%)/1)^(15*1)+U8*((1+4%)/1)^(16*1)+U8*((1+4%)/1)^(17*1)+U8*((1+4%)/1)^(18*1)+U8*((1+4%)/1)^(19*1)+U8*((1+4%)/1)^(20*1)</f>
        <v>3236135.7812530929</v>
      </c>
      <c r="AI8" s="173">
        <f t="shared" ref="AI8:AI13" si="17">V8*((1+4%)/1)^(1*1)+V8*((1+4%)/1)^(2*1)+V8*((1+4%)/1)^(3*1)+V8*((1+4%)/1)^(4*1)+V8*((1+4%)/1)^(5*1)+V8*((1+4%)/1)^(6*1)+V8*((1+4%)/1)^(7*1)+V8*((1+4%)/1)^(8*1)+V8*((1+4%)/1)^(9*1)+V8*((1+4%)/1)^(10*1)+V8*((1+4%)/1)^(11*1)+V8*((1+4%)/1)^(12*1)+V8*((1+4%)/1)^(13*1)+V8*((1+4%)/1)^(14*1)+V8*((1+4%)/1)^(15*1)+V8*((1+4%)/1)^(16*1)+V8*((1+4%)/1)^(17*1)+V8*((1+4%)/1)^(18*1)+V8*((1+4%)/1)^(19*1)+V8*((1+4%)/1)^(20*1)</f>
        <v>312365.38199807855</v>
      </c>
      <c r="AJ8" s="173">
        <f>IF('Expenses by Building'!$O$4=B8,'Expenses by Building'!$O$30,0)</f>
        <v>0</v>
      </c>
      <c r="AK8" s="171">
        <f t="shared" ref="AK8:AK13" si="18">Z8+AA8+AB8+AC8+AD8+AJ8</f>
        <v>1560118.7155005848</v>
      </c>
      <c r="AL8" s="171">
        <f t="shared" ref="AL8:AL13" si="19">AE8+AF8+AG8+AH8+AI8+AJ8</f>
        <v>4074378.9014074123</v>
      </c>
    </row>
    <row r="9" spans="2:38" ht="15.75">
      <c r="B9" s="236" t="s">
        <v>61</v>
      </c>
      <c r="C9" s="8" t="s">
        <v>211</v>
      </c>
      <c r="D9" s="2">
        <v>1980</v>
      </c>
      <c r="E9" s="303"/>
      <c r="F9" s="304">
        <v>4680</v>
      </c>
      <c r="G9" s="305">
        <v>4124</v>
      </c>
      <c r="H9" s="237">
        <v>0.76319999999999999</v>
      </c>
      <c r="I9" s="238">
        <v>41</v>
      </c>
      <c r="J9" s="238">
        <v>435</v>
      </c>
      <c r="K9" s="239"/>
      <c r="L9" s="239" t="s">
        <v>59</v>
      </c>
      <c r="M9" s="240">
        <f>'FUSION Assessment'!$F$6</f>
        <v>1624334.4</v>
      </c>
      <c r="N9" s="234" t="str">
        <f>IFERROR(VLOOKUP($AK$3,'Summary Data'!#REF!,4,0),"")</f>
        <v/>
      </c>
      <c r="O9" s="228" t="e">
        <f t="shared" ref="O9:O13" si="20">N9*35%</f>
        <v>#VALUE!</v>
      </c>
      <c r="P9" s="241">
        <v>35</v>
      </c>
      <c r="Q9" s="171">
        <f t="shared" si="0"/>
        <v>6087.3216871788745</v>
      </c>
      <c r="R9" s="171">
        <f t="shared" si="1"/>
        <v>309.50743801652891</v>
      </c>
      <c r="S9" s="171">
        <f t="shared" si="7"/>
        <v>6396.8291251954033</v>
      </c>
      <c r="T9" s="171">
        <f t="shared" si="2"/>
        <v>9148.0607002031302</v>
      </c>
      <c r="U9" s="172">
        <f t="shared" si="3"/>
        <v>94774.799856613681</v>
      </c>
      <c r="V9" s="171">
        <f t="shared" si="4"/>
        <v>9148.0607002031302</v>
      </c>
      <c r="W9" s="171">
        <f t="shared" si="8"/>
        <v>119467.75038221535</v>
      </c>
      <c r="X9" s="173" t="e">
        <f t="shared" si="5"/>
        <v>#VALUE!</v>
      </c>
      <c r="Y9" s="174" t="e">
        <f t="shared" ref="Y9:Y13" si="21">X9*35%</f>
        <v>#VALUE!</v>
      </c>
      <c r="Z9" s="173">
        <f t="shared" si="10"/>
        <v>76008.4377189058</v>
      </c>
      <c r="AA9" s="173">
        <f t="shared" ref="AA9:AA13" si="22">R9*((1+4%)/1)^(1*1)+R9*((1+4%)/1)^(2*1)+R9*((1+4%)/1)^(3*1)+R9*((1+4%)/1)^(4*1)+R9*((1+4%)/1)^(5*1)+R9*((1+4%)/1)^(6*1)+R9*((1+4%)/1)^(7*1)+R9*((1+4%)/1)^(8*1)+R9*((1+4%)/1)^(9*1)+R9*((1+4%)/1)^(10*1)</f>
        <v>3864.6186344260723</v>
      </c>
      <c r="AB9" s="173">
        <f t="shared" si="11"/>
        <v>108018.43171517122</v>
      </c>
      <c r="AC9" s="173">
        <f t="shared" si="12"/>
        <v>1119081.473344763</v>
      </c>
      <c r="AD9" s="173">
        <f t="shared" si="13"/>
        <v>108018.43171517122</v>
      </c>
      <c r="AE9" s="173">
        <f t="shared" si="6"/>
        <v>184065.54335039752</v>
      </c>
      <c r="AF9" s="173">
        <f t="shared" si="14"/>
        <v>9585.1982814242037</v>
      </c>
      <c r="AG9" s="173">
        <f t="shared" si="15"/>
        <v>283308.13716104795</v>
      </c>
      <c r="AH9" s="173">
        <f t="shared" si="16"/>
        <v>2935099.8946248982</v>
      </c>
      <c r="AI9" s="173">
        <f t="shared" si="17"/>
        <v>283308.13716104795</v>
      </c>
      <c r="AJ9" s="173">
        <f>IF('Expenses by Building'!$O$4=B9,'Expenses by Building'!$O$30,0)</f>
        <v>0</v>
      </c>
      <c r="AK9" s="171">
        <f t="shared" si="18"/>
        <v>1414991.3931284375</v>
      </c>
      <c r="AL9" s="171">
        <f t="shared" si="19"/>
        <v>3695366.9105788162</v>
      </c>
    </row>
    <row r="10" spans="2:38" ht="15.75">
      <c r="B10" s="236" t="s">
        <v>62</v>
      </c>
      <c r="C10" s="8" t="s">
        <v>212</v>
      </c>
      <c r="D10" s="2">
        <v>1980</v>
      </c>
      <c r="E10" s="303"/>
      <c r="F10" s="304">
        <v>10030</v>
      </c>
      <c r="G10" s="305">
        <v>8085</v>
      </c>
      <c r="H10" s="237">
        <v>0.69469999999999998</v>
      </c>
      <c r="I10" s="238">
        <v>98</v>
      </c>
      <c r="J10" s="242">
        <v>1605</v>
      </c>
      <c r="K10" s="239"/>
      <c r="L10" s="239" t="s">
        <v>59</v>
      </c>
      <c r="M10" s="240">
        <f>'FUSION Assessment'!$F$7</f>
        <v>2998771.2</v>
      </c>
      <c r="N10" s="234" t="str">
        <f>IFERROR(VLOOKUP($AK$3,'Summary Data'!#REF!,5,0),"")</f>
        <v/>
      </c>
      <c r="O10" s="228" t="e">
        <f t="shared" si="20"/>
        <v>#VALUE!</v>
      </c>
      <c r="P10" s="241">
        <v>35</v>
      </c>
      <c r="Q10" s="171">
        <f t="shared" si="0"/>
        <v>13046.118915043613</v>
      </c>
      <c r="R10" s="171">
        <f t="shared" si="1"/>
        <v>663.32470156106524</v>
      </c>
      <c r="S10" s="171">
        <f t="shared" si="7"/>
        <v>13709.443616604678</v>
      </c>
      <c r="T10" s="171">
        <f t="shared" si="2"/>
        <v>19605.77966304218</v>
      </c>
      <c r="U10" s="172">
        <f t="shared" si="3"/>
        <v>203117.78687218702</v>
      </c>
      <c r="V10" s="171">
        <f t="shared" si="4"/>
        <v>19605.77966304218</v>
      </c>
      <c r="W10" s="171">
        <f t="shared" si="8"/>
        <v>256038.78981487604</v>
      </c>
      <c r="X10" s="280" t="e">
        <f t="shared" si="5"/>
        <v>#VALUE!</v>
      </c>
      <c r="Y10" s="281" t="e">
        <f t="shared" si="21"/>
        <v>#VALUE!</v>
      </c>
      <c r="Z10" s="280">
        <f t="shared" si="10"/>
        <v>162898.42528218488</v>
      </c>
      <c r="AA10" s="280">
        <f t="shared" si="22"/>
        <v>8282.5053212165622</v>
      </c>
      <c r="AB10" s="280">
        <f t="shared" si="11"/>
        <v>231501.04062033488</v>
      </c>
      <c r="AC10" s="280">
        <f t="shared" si="12"/>
        <v>2398373.3285572594</v>
      </c>
      <c r="AD10" s="280">
        <f t="shared" si="13"/>
        <v>231501.04062033488</v>
      </c>
      <c r="AE10" s="280">
        <f t="shared" si="6"/>
        <v>394482.35038557416</v>
      </c>
      <c r="AF10" s="280">
        <f t="shared" si="14"/>
        <v>20542.636487753156</v>
      </c>
      <c r="AG10" s="280">
        <f t="shared" si="15"/>
        <v>607175.34524045116</v>
      </c>
      <c r="AH10" s="280">
        <f t="shared" si="16"/>
        <v>6290395.7143349843</v>
      </c>
      <c r="AI10" s="280">
        <f t="shared" si="17"/>
        <v>607175.34524045116</v>
      </c>
      <c r="AJ10" s="173">
        <f>IF('Expenses by Building'!$O$4=B10,'Expenses by Building'!$O$30,0)</f>
        <v>0</v>
      </c>
      <c r="AK10" s="171">
        <f t="shared" si="18"/>
        <v>3032556.3404013305</v>
      </c>
      <c r="AL10" s="171">
        <f t="shared" si="19"/>
        <v>7919771.3916892139</v>
      </c>
    </row>
    <row r="11" spans="2:38" ht="15.75">
      <c r="B11" s="236" t="s">
        <v>31</v>
      </c>
      <c r="C11" s="8" t="s">
        <v>213</v>
      </c>
      <c r="D11" s="2">
        <v>1980</v>
      </c>
      <c r="E11" s="303"/>
      <c r="F11" s="304">
        <v>9480</v>
      </c>
      <c r="G11" s="305">
        <v>8403</v>
      </c>
      <c r="H11" s="237">
        <v>0.84340000000000004</v>
      </c>
      <c r="I11" s="238">
        <v>13</v>
      </c>
      <c r="J11" s="238">
        <v>70</v>
      </c>
      <c r="K11" s="239"/>
      <c r="L11" s="239" t="s">
        <v>59</v>
      </c>
      <c r="M11" s="240">
        <v>3128769</v>
      </c>
      <c r="N11" s="234" t="str">
        <f>IFERROR(VLOOKUP($AK$3,'Summary Data'!#REF!,6,0),"")</f>
        <v/>
      </c>
      <c r="O11" s="228" t="e">
        <f t="shared" si="20"/>
        <v>#VALUE!</v>
      </c>
      <c r="P11" s="241">
        <v>35</v>
      </c>
      <c r="Q11" s="171">
        <f t="shared" si="0"/>
        <v>12330.728545823873</v>
      </c>
      <c r="R11" s="171">
        <f t="shared" si="1"/>
        <v>626.95096418732783</v>
      </c>
      <c r="S11" s="171">
        <f t="shared" si="7"/>
        <v>12957.679510011201</v>
      </c>
      <c r="T11" s="171">
        <f t="shared" si="2"/>
        <v>18530.687059385829</v>
      </c>
      <c r="U11" s="172">
        <f t="shared" si="3"/>
        <v>191979.72278647387</v>
      </c>
      <c r="V11" s="171">
        <f t="shared" si="4"/>
        <v>18530.687059385829</v>
      </c>
      <c r="W11" s="171">
        <f t="shared" si="8"/>
        <v>241998.77641525673</v>
      </c>
      <c r="X11" s="173" t="e">
        <f t="shared" si="5"/>
        <v>#VALUE!</v>
      </c>
      <c r="Y11" s="174" t="e">
        <f t="shared" si="21"/>
        <v>#VALUE!</v>
      </c>
      <c r="Z11" s="173">
        <f t="shared" si="10"/>
        <v>153965.80973829635</v>
      </c>
      <c r="AA11" s="173">
        <f t="shared" si="22"/>
        <v>7828.3300543502501</v>
      </c>
      <c r="AB11" s="173">
        <f t="shared" si="11"/>
        <v>218806.56680765454</v>
      </c>
      <c r="AC11" s="173">
        <f t="shared" si="12"/>
        <v>2266857.3434419557</v>
      </c>
      <c r="AD11" s="173">
        <f t="shared" si="13"/>
        <v>218806.56680765454</v>
      </c>
      <c r="AE11" s="173">
        <f t="shared" si="6"/>
        <v>372850.71601747186</v>
      </c>
      <c r="AF11" s="173">
        <f t="shared" si="14"/>
        <v>19416.170877756718</v>
      </c>
      <c r="AG11" s="173">
        <f t="shared" si="15"/>
        <v>573880.58553135372</v>
      </c>
      <c r="AH11" s="173">
        <f t="shared" si="16"/>
        <v>5945458.7609068463</v>
      </c>
      <c r="AI11" s="173">
        <f t="shared" si="17"/>
        <v>573880.58553135372</v>
      </c>
      <c r="AJ11" s="173">
        <f>IF('Expenses by Building'!$O$4=B11,'Expenses by Building'!$O$30,0)</f>
        <v>0</v>
      </c>
      <c r="AK11" s="171">
        <f t="shared" si="18"/>
        <v>2866264.6168499114</v>
      </c>
      <c r="AL11" s="171">
        <f t="shared" si="19"/>
        <v>7485486.8188647823</v>
      </c>
    </row>
    <row r="12" spans="2:38" ht="15.75">
      <c r="B12" s="236" t="s">
        <v>63</v>
      </c>
      <c r="C12" s="8" t="s">
        <v>214</v>
      </c>
      <c r="D12" s="2">
        <v>1980</v>
      </c>
      <c r="E12" s="303"/>
      <c r="F12" s="304">
        <v>8640</v>
      </c>
      <c r="G12" s="305">
        <v>5725</v>
      </c>
      <c r="H12" s="237">
        <v>0.73629999999999995</v>
      </c>
      <c r="I12" s="238">
        <v>37</v>
      </c>
      <c r="J12" s="238">
        <v>139</v>
      </c>
      <c r="K12" s="239"/>
      <c r="L12" s="239" t="s">
        <v>59</v>
      </c>
      <c r="M12" s="240">
        <f>'FUSION Assessment'!$F$9</f>
        <v>4737871.0999999996</v>
      </c>
      <c r="N12" s="234" t="str">
        <f>IFERROR(VLOOKUP($AK$3,'Summary Data'!#REF!,7,0),"")</f>
        <v/>
      </c>
      <c r="O12" s="228" t="e">
        <f t="shared" si="20"/>
        <v>#VALUE!</v>
      </c>
      <c r="P12" s="241">
        <v>35</v>
      </c>
      <c r="Q12" s="171">
        <f t="shared" si="0"/>
        <v>11238.132345560998</v>
      </c>
      <c r="R12" s="171">
        <f t="shared" si="1"/>
        <v>571.39834710743798</v>
      </c>
      <c r="S12" s="171">
        <f t="shared" si="7"/>
        <v>11809.530692668435</v>
      </c>
      <c r="T12" s="171">
        <f t="shared" si="2"/>
        <v>16888.727446528857</v>
      </c>
      <c r="U12" s="172">
        <f t="shared" si="3"/>
        <v>174968.86127374833</v>
      </c>
      <c r="V12" s="171">
        <f t="shared" si="4"/>
        <v>16888.727446528857</v>
      </c>
      <c r="W12" s="171">
        <f t="shared" si="8"/>
        <v>220555.84685947449</v>
      </c>
      <c r="X12" s="173" t="e">
        <f t="shared" si="5"/>
        <v>#VALUE!</v>
      </c>
      <c r="Y12" s="174" t="e">
        <f t="shared" si="21"/>
        <v>#VALUE!</v>
      </c>
      <c r="Z12" s="173">
        <f t="shared" si="10"/>
        <v>140323.269634903</v>
      </c>
      <c r="AA12" s="173">
        <f t="shared" si="22"/>
        <v>7134.6805558635169</v>
      </c>
      <c r="AB12" s="173">
        <f t="shared" si="11"/>
        <v>199418.64316646999</v>
      </c>
      <c r="AC12" s="173">
        <f t="shared" si="12"/>
        <v>2065996.5661749472</v>
      </c>
      <c r="AD12" s="173">
        <f t="shared" si="13"/>
        <v>199418.64316646999</v>
      </c>
      <c r="AE12" s="173">
        <f t="shared" si="6"/>
        <v>339813.3108007338</v>
      </c>
      <c r="AF12" s="173">
        <f t="shared" si="14"/>
        <v>17695.750673398528</v>
      </c>
      <c r="AG12" s="173">
        <f t="shared" si="15"/>
        <v>523030.40706655022</v>
      </c>
      <c r="AH12" s="173">
        <f t="shared" si="16"/>
        <v>5418645.9593075039</v>
      </c>
      <c r="AI12" s="173">
        <f t="shared" si="17"/>
        <v>523030.40706655022</v>
      </c>
      <c r="AJ12" s="173">
        <f>IF('Expenses by Building'!$O$4=B12,'Expenses by Building'!$O$30,0)</f>
        <v>0</v>
      </c>
      <c r="AK12" s="171">
        <f t="shared" si="18"/>
        <v>2612291.8026986537</v>
      </c>
      <c r="AL12" s="171">
        <f t="shared" si="19"/>
        <v>6822215.8349147364</v>
      </c>
    </row>
    <row r="13" spans="2:38" ht="15.75">
      <c r="B13" s="236" t="s">
        <v>64</v>
      </c>
      <c r="C13" s="8" t="s">
        <v>215</v>
      </c>
      <c r="D13" s="2">
        <v>1980</v>
      </c>
      <c r="E13" s="236"/>
      <c r="F13" s="304">
        <v>3000</v>
      </c>
      <c r="G13" s="305">
        <v>2709</v>
      </c>
      <c r="H13" s="237">
        <v>0.88090000000000002</v>
      </c>
      <c r="I13" s="238">
        <v>30</v>
      </c>
      <c r="J13" s="242">
        <v>2283</v>
      </c>
      <c r="K13" s="239" t="s">
        <v>65</v>
      </c>
      <c r="L13" s="239" t="s">
        <v>59</v>
      </c>
      <c r="M13" s="240">
        <f>'FUSION Assessment'!$F$10</f>
        <v>1041240</v>
      </c>
      <c r="N13" s="234" t="str">
        <f>IFERROR(VLOOKUP($AK$3,'Summary Data'!#REF!,8,0),"")</f>
        <v/>
      </c>
      <c r="O13" s="228" t="e">
        <f t="shared" si="20"/>
        <v>#VALUE!</v>
      </c>
      <c r="P13" s="241">
        <v>35</v>
      </c>
      <c r="Q13" s="171">
        <f t="shared" si="0"/>
        <v>3902.1292866531244</v>
      </c>
      <c r="R13" s="171">
        <f t="shared" si="1"/>
        <v>198.40220385674931</v>
      </c>
      <c r="S13" s="171">
        <f t="shared" si="7"/>
        <v>4100.5314905098739</v>
      </c>
      <c r="T13" s="171">
        <f t="shared" si="2"/>
        <v>5864.1414744891863</v>
      </c>
      <c r="U13" s="172">
        <f t="shared" si="3"/>
        <v>60753.076831162616</v>
      </c>
      <c r="V13" s="171">
        <f t="shared" si="4"/>
        <v>5864.1414744891863</v>
      </c>
      <c r="W13" s="171">
        <f t="shared" si="8"/>
        <v>76581.891270650856</v>
      </c>
      <c r="X13" s="173" t="e">
        <f t="shared" si="5"/>
        <v>#VALUE!</v>
      </c>
      <c r="Y13" s="174" t="e">
        <f t="shared" si="21"/>
        <v>#VALUE!</v>
      </c>
      <c r="Z13" s="173">
        <f t="shared" si="10"/>
        <v>48723.357512119102</v>
      </c>
      <c r="AA13" s="173">
        <f t="shared" si="22"/>
        <v>2477.3196374526101</v>
      </c>
      <c r="AB13" s="173">
        <f t="shared" si="11"/>
        <v>69242.584432802061</v>
      </c>
      <c r="AC13" s="173">
        <f t="shared" si="12"/>
        <v>717359.91881074558</v>
      </c>
      <c r="AD13" s="173">
        <f t="shared" si="13"/>
        <v>69242.584432802061</v>
      </c>
      <c r="AE13" s="173">
        <f t="shared" si="6"/>
        <v>117990.73291692146</v>
      </c>
      <c r="AF13" s="173">
        <f t="shared" si="14"/>
        <v>6144.357872707822</v>
      </c>
      <c r="AG13" s="173">
        <f t="shared" si="15"/>
        <v>181607.78023144105</v>
      </c>
      <c r="AH13" s="173">
        <f t="shared" si="16"/>
        <v>1881474.2914262172</v>
      </c>
      <c r="AI13" s="173">
        <f t="shared" si="17"/>
        <v>181607.78023144105</v>
      </c>
      <c r="AJ13" s="173">
        <f>IF('Expenses by Building'!$O$4=B13,'Expenses by Building'!$O$30,0)</f>
        <v>0</v>
      </c>
      <c r="AK13" s="171">
        <f t="shared" si="18"/>
        <v>907045.76482592139</v>
      </c>
      <c r="AL13" s="171">
        <f t="shared" si="19"/>
        <v>2368824.9426787286</v>
      </c>
    </row>
    <row r="14" spans="2:38">
      <c r="B14" s="243"/>
      <c r="C14" s="243"/>
      <c r="D14" s="243"/>
      <c r="E14" s="244"/>
      <c r="F14" s="245">
        <f>SUM(F7:F13)</f>
        <v>50214</v>
      </c>
      <c r="G14" s="245">
        <f>SUM(G7:G13)</f>
        <v>41168</v>
      </c>
      <c r="H14" s="245"/>
      <c r="I14" s="246"/>
      <c r="J14" s="246"/>
      <c r="K14" s="246"/>
      <c r="L14" s="246"/>
      <c r="M14" s="246"/>
      <c r="N14" s="175"/>
      <c r="O14" s="175"/>
      <c r="P14" s="175"/>
      <c r="Q14" s="244"/>
      <c r="R14" s="175"/>
      <c r="S14" s="175"/>
      <c r="T14" s="175"/>
      <c r="U14" s="411" t="s">
        <v>66</v>
      </c>
      <c r="V14" s="411"/>
      <c r="W14" s="176">
        <f>SUM(W7:W13)</f>
        <v>1281827.6960881541</v>
      </c>
      <c r="X14" s="177">
        <f>N14*((1+5%)/1)^(50*1)</f>
        <v>0</v>
      </c>
      <c r="Y14" s="177">
        <f t="shared" si="9"/>
        <v>0</v>
      </c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8">
        <f>SUM(AK7:AK13)</f>
        <v>15182132.011656273</v>
      </c>
      <c r="AL14" s="178">
        <f>SUM(AL7:AL13)</f>
        <v>39649391.890556552</v>
      </c>
    </row>
    <row r="15" spans="2:38" ht="15.75" thickBot="1">
      <c r="E15" s="33"/>
    </row>
    <row r="16" spans="2:38" ht="31.5" customHeight="1">
      <c r="B16" s="261" t="s">
        <v>183</v>
      </c>
      <c r="C16" s="262"/>
      <c r="D16" s="263"/>
      <c r="E16" s="264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</row>
    <row r="17" spans="2:38">
      <c r="B17" s="418" t="s">
        <v>182</v>
      </c>
      <c r="C17" s="419"/>
      <c r="D17" s="269"/>
      <c r="E17" s="270"/>
      <c r="F17" s="269"/>
      <c r="G17" s="269"/>
      <c r="H17" s="417" t="s">
        <v>173</v>
      </c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2"/>
    </row>
    <row r="18" spans="2:38">
      <c r="B18" s="267" t="s">
        <v>255</v>
      </c>
      <c r="C18" s="268"/>
      <c r="D18" s="269"/>
      <c r="E18" s="268"/>
      <c r="F18" s="268"/>
      <c r="G18" s="273"/>
      <c r="H18" s="415">
        <f>'Summary Data'!$F$35</f>
        <v>1.3007097622177082</v>
      </c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271"/>
      <c r="U18" s="271"/>
      <c r="V18" s="271"/>
      <c r="W18" s="271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1"/>
      <c r="AL18" s="272"/>
    </row>
    <row r="19" spans="2:38">
      <c r="B19" s="267" t="s">
        <v>256</v>
      </c>
      <c r="C19" s="268"/>
      <c r="D19" s="268"/>
      <c r="E19" s="269"/>
      <c r="F19" s="273"/>
      <c r="G19" s="273"/>
      <c r="H19" s="415">
        <f>'Summary Data'!$E$29</f>
        <v>6.613406795224977E-2</v>
      </c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2"/>
    </row>
    <row r="20" spans="2:38" ht="33.75" customHeight="1">
      <c r="B20" s="420" t="s">
        <v>257</v>
      </c>
      <c r="C20" s="421"/>
      <c r="D20" s="421"/>
      <c r="E20" s="421"/>
      <c r="F20" s="421"/>
      <c r="G20" s="421"/>
      <c r="H20" s="415">
        <f>'Summary Data'!$E$38</f>
        <v>1.9547138248297287</v>
      </c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2"/>
    </row>
    <row r="21" spans="2:38" ht="16.5" customHeight="1">
      <c r="B21" s="275" t="s">
        <v>258</v>
      </c>
      <c r="C21" s="269"/>
      <c r="D21" s="269"/>
      <c r="E21" s="269"/>
      <c r="F21" s="269"/>
      <c r="G21" s="269"/>
      <c r="H21" s="415">
        <f>'Summary Data'!$E$41</f>
        <v>20.25102561038754</v>
      </c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276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2"/>
    </row>
    <row r="22" spans="2:38" ht="30.75" customHeight="1" thickBot="1">
      <c r="B22" s="392" t="s">
        <v>259</v>
      </c>
      <c r="C22" s="393"/>
      <c r="D22" s="393"/>
      <c r="E22" s="393"/>
      <c r="F22" s="393"/>
      <c r="G22" s="393"/>
      <c r="H22" s="416">
        <f>'Summary Data'!$H$26</f>
        <v>1.9547138248297287</v>
      </c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277"/>
      <c r="U22" s="277"/>
      <c r="V22" s="277"/>
      <c r="W22" s="278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9"/>
    </row>
    <row r="23" spans="2:38" ht="15.75" thickBot="1">
      <c r="B23" s="412" t="s">
        <v>67</v>
      </c>
      <c r="C23" s="413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</row>
    <row r="24" spans="2:38" ht="15.75" hidden="1" thickBot="1">
      <c r="B24" s="430" t="s">
        <v>123</v>
      </c>
      <c r="C24" s="431"/>
      <c r="D24" s="431"/>
      <c r="E24" s="431"/>
      <c r="F24" s="431"/>
      <c r="G24" s="407"/>
      <c r="H24" s="408"/>
      <c r="J24" s="404" t="s">
        <v>92</v>
      </c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6"/>
    </row>
    <row r="25" spans="2:38">
      <c r="B25" s="432" t="s">
        <v>260</v>
      </c>
      <c r="C25" s="432"/>
      <c r="D25" s="432"/>
      <c r="E25" s="432"/>
      <c r="F25" s="432"/>
    </row>
  </sheetData>
  <sheetProtection algorithmName="SHA-512" hashValue="AnK4H6PWeS9eYi2Tom399MniIeOnqnUFPcX6IriDh190amzEWRkAnguMOIAZAvy/Rh1t5cjY5MJqMMWibs8Ypw==" saltValue="Y1rhqqVHhW9tMms14B3XZw==" spinCount="100000" sheet="1" objects="1" scenarios="1"/>
  <mergeCells count="20">
    <mergeCell ref="B25:F25"/>
    <mergeCell ref="J24:W24"/>
    <mergeCell ref="B24:H24"/>
    <mergeCell ref="N6:O6"/>
    <mergeCell ref="U14:V14"/>
    <mergeCell ref="B23:C23"/>
    <mergeCell ref="J23:W23"/>
    <mergeCell ref="H18:S18"/>
    <mergeCell ref="H19:S19"/>
    <mergeCell ref="H20:S20"/>
    <mergeCell ref="H21:S21"/>
    <mergeCell ref="H22:S22"/>
    <mergeCell ref="H17:S17"/>
    <mergeCell ref="B17:C17"/>
    <mergeCell ref="B20:G20"/>
    <mergeCell ref="B22:G22"/>
    <mergeCell ref="B3:H3"/>
    <mergeCell ref="P6:AL6"/>
    <mergeCell ref="B2:AL2"/>
    <mergeCell ref="AK3:AL3"/>
  </mergeCells>
  <pageMargins left="0.25" right="0.25" top="0.75" bottom="0.75" header="0.3" footer="0.3"/>
  <pageSetup paperSize="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 codeName="Sheet5">
    <pageSetUpPr fitToPage="1"/>
  </sheetPr>
  <dimension ref="B1:G12"/>
  <sheetViews>
    <sheetView zoomScaleNormal="100" workbookViewId="0">
      <selection activeCell="B12" sqref="B12:E12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23" t="s">
        <v>96</v>
      </c>
      <c r="C1" s="423"/>
      <c r="D1" s="423"/>
      <c r="E1" s="423"/>
      <c r="F1" s="423"/>
      <c r="G1" s="423"/>
    </row>
    <row r="2" spans="2:7" ht="15" customHeight="1">
      <c r="B2" s="9" t="s">
        <v>110</v>
      </c>
      <c r="C2" s="422" t="s">
        <v>208</v>
      </c>
      <c r="D2" s="422"/>
      <c r="E2" s="422"/>
      <c r="F2" s="422"/>
      <c r="G2" s="422"/>
    </row>
    <row r="3" spans="2:7">
      <c r="B3" s="5" t="s">
        <v>41</v>
      </c>
      <c r="C3" s="40" t="s">
        <v>109</v>
      </c>
      <c r="D3" s="41" t="s">
        <v>181</v>
      </c>
      <c r="E3" s="3" t="s">
        <v>93</v>
      </c>
      <c r="F3" s="3" t="s">
        <v>94</v>
      </c>
      <c r="G3" s="3" t="s">
        <v>95</v>
      </c>
    </row>
    <row r="4" spans="2:7">
      <c r="B4" s="2" t="s">
        <v>59</v>
      </c>
      <c r="C4" s="8" t="s">
        <v>209</v>
      </c>
      <c r="D4" s="32">
        <v>1980</v>
      </c>
      <c r="E4" s="6">
        <v>2839684.98</v>
      </c>
      <c r="F4" s="6">
        <v>4357140.88</v>
      </c>
      <c r="G4" s="7">
        <f>SUM(E4/F4)</f>
        <v>0.65173127475281456</v>
      </c>
    </row>
    <row r="5" spans="2:7">
      <c r="B5" s="2" t="s">
        <v>60</v>
      </c>
      <c r="C5" s="8" t="s">
        <v>210</v>
      </c>
      <c r="D5" s="2">
        <v>1980</v>
      </c>
      <c r="E5" s="6">
        <v>1486555.37</v>
      </c>
      <c r="F5" s="6">
        <v>2437429.2000000002</v>
      </c>
      <c r="G5" s="7">
        <f t="shared" ref="G5:G10" si="0">SUM(E5/F5)</f>
        <v>0.60988658460315481</v>
      </c>
    </row>
    <row r="6" spans="2:7">
      <c r="B6" s="2" t="s">
        <v>61</v>
      </c>
      <c r="C6" s="8" t="s">
        <v>211</v>
      </c>
      <c r="D6" s="2">
        <v>1980</v>
      </c>
      <c r="E6" s="6">
        <v>1674282.94</v>
      </c>
      <c r="F6" s="6">
        <v>1624334.4</v>
      </c>
      <c r="G6" s="7">
        <f t="shared" si="0"/>
        <v>1.03075015834178</v>
      </c>
    </row>
    <row r="7" spans="2:7">
      <c r="B7" s="2" t="s">
        <v>62</v>
      </c>
      <c r="C7" s="8" t="s">
        <v>212</v>
      </c>
      <c r="D7" s="2">
        <v>1980</v>
      </c>
      <c r="E7" s="6">
        <v>3237373.17</v>
      </c>
      <c r="F7" s="6">
        <v>2998771.2</v>
      </c>
      <c r="G7" s="7">
        <f t="shared" si="0"/>
        <v>1.079566580471361</v>
      </c>
    </row>
    <row r="8" spans="2:7">
      <c r="B8" s="2" t="s">
        <v>31</v>
      </c>
      <c r="C8" s="8" t="s">
        <v>213</v>
      </c>
      <c r="D8" s="2">
        <v>1980</v>
      </c>
      <c r="E8" s="6">
        <v>2949237.42</v>
      </c>
      <c r="F8" s="6">
        <v>4478067.5999999996</v>
      </c>
      <c r="G8" s="7">
        <f t="shared" si="0"/>
        <v>0.65859600243640815</v>
      </c>
    </row>
    <row r="9" spans="2:7">
      <c r="B9" s="2" t="s">
        <v>63</v>
      </c>
      <c r="C9" s="8" t="s">
        <v>214</v>
      </c>
      <c r="D9" s="2">
        <v>1980</v>
      </c>
      <c r="E9" s="6">
        <v>2889564.01</v>
      </c>
      <c r="F9" s="6">
        <v>4737871.0999999996</v>
      </c>
      <c r="G9" s="7">
        <f t="shared" si="0"/>
        <v>0.60988658176031851</v>
      </c>
    </row>
    <row r="10" spans="2:7">
      <c r="B10" s="2" t="s">
        <v>64</v>
      </c>
      <c r="C10" s="8" t="s">
        <v>215</v>
      </c>
      <c r="D10" s="2">
        <v>1980</v>
      </c>
      <c r="E10" s="6">
        <v>1073258.3</v>
      </c>
      <c r="F10" s="6">
        <v>1041240</v>
      </c>
      <c r="G10" s="7">
        <f t="shared" si="0"/>
        <v>1.0307501632668741</v>
      </c>
    </row>
    <row r="11" spans="2:7">
      <c r="B11" s="424"/>
      <c r="C11" s="424"/>
      <c r="D11" s="424"/>
      <c r="E11" s="424"/>
      <c r="F11" s="424"/>
      <c r="G11" s="424"/>
    </row>
    <row r="12" spans="2:7">
      <c r="B12" s="434" t="s">
        <v>260</v>
      </c>
      <c r="C12" s="433"/>
      <c r="D12" s="433"/>
      <c r="E12" s="433"/>
    </row>
  </sheetData>
  <sheetProtection algorithmName="SHA-512" hashValue="a0nM6/q3DDnAapfl7L3SwKBpbO2sFFfXWj3OQbFO/oBTQDAN7Ww0PhjTg1Vcj0C1UkPxFFkcY5n68z3csfk4hA==" saltValue="WVwlOaYG6Fj3qdOtz5wGCw==" spinCount="100000" sheet="1" objects="1" scenarios="1"/>
  <mergeCells count="4">
    <mergeCell ref="C2:G2"/>
    <mergeCell ref="B1:G1"/>
    <mergeCell ref="B11:G11"/>
    <mergeCell ref="B12:E12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24602C-66A5-4655-99C4-0135E58BDD5A}"/>
</file>

<file path=customXml/itemProps2.xml><?xml version="1.0" encoding="utf-8"?>
<ds:datastoreItem xmlns:ds="http://schemas.openxmlformats.org/officeDocument/2006/customXml" ds:itemID="{0E4D9D3B-3351-4568-BDC8-4821FFA79129}"/>
</file>

<file path=customXml/itemProps3.xml><?xml version="1.0" encoding="utf-8"?>
<ds:datastoreItem xmlns:ds="http://schemas.openxmlformats.org/officeDocument/2006/customXml" ds:itemID="{CBFF4EF3-A29B-4C6E-B6CD-8C85D4454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2023-11-17T00:43:54Z</cp:lastPrinted>
  <dcterms:created xsi:type="dcterms:W3CDTF">2022-10-21T16:37:19Z</dcterms:created>
  <dcterms:modified xsi:type="dcterms:W3CDTF">2024-01-25T17:22:08Z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