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:\Department Directories\Facility Planning\13. PLANNING\MOPS+B\FINAL\"/>
    </mc:Choice>
  </mc:AlternateContent>
  <xr:revisionPtr revIDLastSave="0" documentId="8_{3CD4C64A-5D4B-4AEE-97F3-EBB26E8D8006}" xr6:coauthVersionLast="47" xr6:coauthVersionMax="47" xr10:uidLastSave="{00000000-0000-0000-0000-000000000000}"/>
  <bookViews>
    <workbookView xWindow="-120" yWindow="-120" windowWidth="29040" windowHeight="15840" activeTab="4" xr2:uid="{E936361E-0279-4DA8-902D-5F8F9AB6CDA5}"/>
  </bookViews>
  <sheets>
    <sheet name="Summary Data" sheetId="5" r:id="rId1"/>
    <sheet name="Staffing Expenses" sheetId="2" r:id="rId2"/>
    <sheet name="Expenses by Building" sheetId="7" r:id="rId3"/>
    <sheet name="Campuswide Expenses" sheetId="8" r:id="rId4"/>
    <sheet name="FUSION Assessment" sheetId="9" r:id="rId5"/>
  </sheets>
  <definedNames>
    <definedName name="_xlnm._FilterDatabase" localSheetId="1" hidden="1">'Staffing Expenses'!$A$3:$E$5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6" i="2" l="1"/>
  <c r="F26" i="2"/>
  <c r="L14" i="7"/>
  <c r="L13" i="7"/>
  <c r="G25" i="5" l="1"/>
  <c r="G4" i="9" l="1"/>
  <c r="D8" i="7"/>
  <c r="A26" i="2"/>
  <c r="G7" i="7" l="1"/>
  <c r="K4" i="7"/>
  <c r="O30" i="7"/>
  <c r="AK3" i="8"/>
  <c r="G11" i="5"/>
  <c r="G10" i="5"/>
  <c r="B26" i="2"/>
  <c r="C17" i="2"/>
  <c r="B17" i="2"/>
  <c r="A17" i="2"/>
  <c r="AJ7" i="8" l="1"/>
  <c r="M7" i="8"/>
  <c r="A9" i="2" l="1"/>
  <c r="D19" i="7" l="1"/>
  <c r="E19" i="7" s="1"/>
  <c r="F19" i="7" s="1"/>
  <c r="G19" i="7" s="1"/>
  <c r="H19" i="7" s="1"/>
  <c r="I19" i="7" s="1"/>
  <c r="J19" i="7" s="1"/>
  <c r="K19" i="7" s="1"/>
  <c r="L19" i="7" s="1"/>
  <c r="M19" i="7" s="1"/>
  <c r="N19" i="7" s="1"/>
  <c r="M8" i="2" l="1"/>
  <c r="I8" i="2"/>
  <c r="J8" i="2" s="1"/>
  <c r="E8" i="2"/>
  <c r="F8" i="2" s="1"/>
  <c r="N8" i="2" l="1"/>
  <c r="O8" i="2" s="1"/>
  <c r="K8" i="2"/>
  <c r="B3" i="8" l="1"/>
  <c r="E6" i="5"/>
  <c r="B9" i="2"/>
  <c r="D14" i="5"/>
  <c r="C13" i="5"/>
  <c r="E12" i="5"/>
  <c r="E11" i="5"/>
  <c r="D26" i="2" s="1"/>
  <c r="E10" i="5"/>
  <c r="D17" i="2" s="1"/>
  <c r="E17" i="2" s="1"/>
  <c r="F17" i="2" s="1"/>
  <c r="I26" i="2" l="1"/>
  <c r="I17" i="2"/>
  <c r="J17" i="2" s="1"/>
  <c r="D29" i="7"/>
  <c r="H11" i="5"/>
  <c r="K17" i="2" l="1"/>
  <c r="L12" i="7" s="1"/>
  <c r="N7" i="8"/>
  <c r="G4" i="7"/>
  <c r="X7" i="8" l="1"/>
  <c r="D18" i="7"/>
  <c r="X8" i="8"/>
  <c r="Y8" i="8" s="1"/>
  <c r="D7" i="7"/>
  <c r="H10" i="5"/>
  <c r="G9" i="5"/>
  <c r="E29" i="7"/>
  <c r="F29" i="7" s="1"/>
  <c r="G29" i="7" s="1"/>
  <c r="H29" i="7" s="1"/>
  <c r="I29" i="7" s="1"/>
  <c r="J29" i="7" s="1"/>
  <c r="K29" i="7" s="1"/>
  <c r="L29" i="7" s="1"/>
  <c r="M29" i="7" s="1"/>
  <c r="N29" i="7" s="1"/>
  <c r="Y7" i="8" l="1"/>
  <c r="E18" i="7"/>
  <c r="D20" i="7"/>
  <c r="D21" i="7" s="1"/>
  <c r="G8" i="8"/>
  <c r="F8" i="8"/>
  <c r="O7" i="8"/>
  <c r="E20" i="7" l="1"/>
  <c r="E21" i="7" s="1"/>
  <c r="F18" i="7"/>
  <c r="F20" i="7" l="1"/>
  <c r="F21" i="7" s="1"/>
  <c r="G18" i="7"/>
  <c r="C9" i="2"/>
  <c r="H12" i="5"/>
  <c r="L10" i="7"/>
  <c r="E9" i="5"/>
  <c r="H9" i="5" s="1"/>
  <c r="L9" i="7" s="1"/>
  <c r="E41" i="5"/>
  <c r="H15" i="8" s="1"/>
  <c r="E38" i="5"/>
  <c r="E35" i="5"/>
  <c r="H8" i="7" s="1"/>
  <c r="D22" i="7" s="1"/>
  <c r="E32" i="5"/>
  <c r="E7" i="5"/>
  <c r="C26" i="2" s="1"/>
  <c r="E19" i="5"/>
  <c r="E25" i="5" s="1"/>
  <c r="H25" i="5" s="1"/>
  <c r="E18" i="5"/>
  <c r="L26" i="2" s="1"/>
  <c r="E17" i="5"/>
  <c r="L17" i="2" s="1"/>
  <c r="E16" i="5"/>
  <c r="O9" i="7" l="1"/>
  <c r="O10" i="7"/>
  <c r="E26" i="2"/>
  <c r="J26" i="2"/>
  <c r="M17" i="2"/>
  <c r="M26" i="2"/>
  <c r="E22" i="7"/>
  <c r="H18" i="7"/>
  <c r="G20" i="7"/>
  <c r="G21" i="7" s="1"/>
  <c r="E22" i="5"/>
  <c r="L9" i="2"/>
  <c r="E23" i="5"/>
  <c r="E24" i="5"/>
  <c r="F41" i="5"/>
  <c r="H12" i="7" s="1"/>
  <c r="D26" i="7" s="1"/>
  <c r="H14" i="8"/>
  <c r="U7" i="8"/>
  <c r="AH7" i="8" s="1"/>
  <c r="H9" i="7"/>
  <c r="D23" i="7" s="1"/>
  <c r="F35" i="5"/>
  <c r="H12" i="8" s="1"/>
  <c r="D9" i="2"/>
  <c r="E20" i="5"/>
  <c r="E29" i="5"/>
  <c r="N26" i="2" l="1"/>
  <c r="O26" i="2" s="1"/>
  <c r="N17" i="2"/>
  <c r="O17" i="2" s="1"/>
  <c r="I9" i="2"/>
  <c r="J9" i="2" s="1"/>
  <c r="K9" i="2" s="1"/>
  <c r="L11" i="7" s="1"/>
  <c r="E9" i="2"/>
  <c r="F9" i="2" s="1"/>
  <c r="AC7" i="8"/>
  <c r="F22" i="7"/>
  <c r="G22" i="7" s="1"/>
  <c r="H22" i="7" s="1"/>
  <c r="I22" i="7" s="1"/>
  <c r="J22" i="7" s="1"/>
  <c r="K22" i="7" s="1"/>
  <c r="L22" i="7" s="1"/>
  <c r="M22" i="7" s="1"/>
  <c r="N22" i="7" s="1"/>
  <c r="E23" i="7"/>
  <c r="E26" i="7"/>
  <c r="I18" i="7"/>
  <c r="H20" i="7"/>
  <c r="H21" i="7" s="1"/>
  <c r="E26" i="5"/>
  <c r="T7" i="8"/>
  <c r="H10" i="7"/>
  <c r="D24" i="7" s="1"/>
  <c r="H13" i="8"/>
  <c r="Q7" i="8"/>
  <c r="M9" i="2"/>
  <c r="N9" i="2" s="1"/>
  <c r="O9" i="2" s="1"/>
  <c r="G17" i="5" l="1"/>
  <c r="G18" i="5"/>
  <c r="AG7" i="8"/>
  <c r="AB7" i="8"/>
  <c r="AE7" i="8"/>
  <c r="Z7" i="8"/>
  <c r="O22" i="7"/>
  <c r="F23" i="7"/>
  <c r="G23" i="7" s="1"/>
  <c r="H23" i="7" s="1"/>
  <c r="I23" i="7" s="1"/>
  <c r="J23" i="7" s="1"/>
  <c r="K23" i="7" s="1"/>
  <c r="L23" i="7" s="1"/>
  <c r="M23" i="7" s="1"/>
  <c r="N23" i="7" s="1"/>
  <c r="F26" i="7"/>
  <c r="G26" i="7" s="1"/>
  <c r="H26" i="7" s="1"/>
  <c r="I26" i="7" s="1"/>
  <c r="J26" i="7" s="1"/>
  <c r="K26" i="7" s="1"/>
  <c r="L26" i="7" s="1"/>
  <c r="M26" i="7" s="1"/>
  <c r="N26" i="7" s="1"/>
  <c r="E24" i="7"/>
  <c r="J18" i="7"/>
  <c r="I20" i="7"/>
  <c r="I21" i="7" s="1"/>
  <c r="R7" i="8"/>
  <c r="G24" i="5" l="1"/>
  <c r="H24" i="5" s="1"/>
  <c r="G23" i="5"/>
  <c r="H23" i="5" s="1"/>
  <c r="AF7" i="8"/>
  <c r="AA7" i="8"/>
  <c r="O23" i="7"/>
  <c r="O26" i="7"/>
  <c r="F24" i="7"/>
  <c r="G24" i="7" s="1"/>
  <c r="H24" i="7" s="1"/>
  <c r="I24" i="7" s="1"/>
  <c r="J24" i="7" s="1"/>
  <c r="K24" i="7" s="1"/>
  <c r="L24" i="7" s="1"/>
  <c r="M24" i="7" s="1"/>
  <c r="N24" i="7" s="1"/>
  <c r="S7" i="8"/>
  <c r="K18" i="7"/>
  <c r="J20" i="7"/>
  <c r="J21" i="7" s="1"/>
  <c r="G16" i="5"/>
  <c r="G22" i="5" l="1"/>
  <c r="H22" i="5" s="1"/>
  <c r="H26" i="5" s="1"/>
  <c r="O24" i="7"/>
  <c r="K20" i="7"/>
  <c r="K21" i="7" s="1"/>
  <c r="L18" i="7"/>
  <c r="H16" i="8" l="1"/>
  <c r="V7" i="8" s="1"/>
  <c r="AI7" i="8" s="1"/>
  <c r="AL7" i="8" s="1"/>
  <c r="H11" i="7"/>
  <c r="D25" i="7" s="1"/>
  <c r="E25" i="7" s="1"/>
  <c r="F25" i="7" s="1"/>
  <c r="G25" i="7" s="1"/>
  <c r="H25" i="7" s="1"/>
  <c r="I25" i="7" s="1"/>
  <c r="J25" i="7" s="1"/>
  <c r="K25" i="7" s="1"/>
  <c r="L25" i="7" s="1"/>
  <c r="M25" i="7" s="1"/>
  <c r="N25" i="7" s="1"/>
  <c r="N27" i="7" s="1"/>
  <c r="N31" i="7" s="1"/>
  <c r="M18" i="7"/>
  <c r="L20" i="7"/>
  <c r="L21" i="7" s="1"/>
  <c r="O25" i="7" l="1"/>
  <c r="O27" i="7" s="1"/>
  <c r="O31" i="7" s="1"/>
  <c r="D27" i="7"/>
  <c r="D31" i="7" s="1"/>
  <c r="AD7" i="8"/>
  <c r="AK7" i="8" s="1"/>
  <c r="W7" i="8"/>
  <c r="N18" i="7"/>
  <c r="M20" i="7"/>
  <c r="M21" i="7" s="1"/>
  <c r="E27" i="7"/>
  <c r="E31" i="7" l="1"/>
  <c r="N20" i="7"/>
  <c r="N21" i="7" s="1"/>
  <c r="F27" i="7"/>
  <c r="F31" i="7" l="1"/>
  <c r="G27" i="7"/>
  <c r="G31" i="7" s="1"/>
  <c r="H27" i="7" l="1"/>
  <c r="H31" i="7" s="1"/>
  <c r="I27" i="7" l="1"/>
  <c r="I31" i="7" l="1"/>
  <c r="J27" i="7"/>
  <c r="J31" i="7" s="1"/>
  <c r="K27" i="7" l="1"/>
  <c r="K31" i="7" s="1"/>
  <c r="L27" i="7" l="1"/>
  <c r="L31" i="7" s="1"/>
  <c r="M27" i="7" l="1"/>
  <c r="M31" i="7" l="1"/>
  <c r="W8" i="8" l="1"/>
  <c r="AK8" i="8"/>
  <c r="AL8" i="8" l="1"/>
</calcChain>
</file>

<file path=xl/sharedStrings.xml><?xml version="1.0" encoding="utf-8"?>
<sst xmlns="http://schemas.openxmlformats.org/spreadsheetml/2006/main" count="297" uniqueCount="254">
  <si>
    <t>Site</t>
  </si>
  <si>
    <t>Site GSF</t>
  </si>
  <si>
    <t xml:space="preserve">GSF to clean per Custodian </t>
  </si>
  <si>
    <t>Orderly Spotlessness</t>
  </si>
  <si>
    <t>Ordinary Tidiness</t>
  </si>
  <si>
    <t>Casual Inattention</t>
  </si>
  <si>
    <t>Moderate Dinginess</t>
  </si>
  <si>
    <t>Projected GSF to clean per Custodian</t>
  </si>
  <si>
    <t>Projected Staff Count</t>
  </si>
  <si>
    <t>Showpiece Facility</t>
  </si>
  <si>
    <t>Comprehensive Stewardship</t>
  </si>
  <si>
    <t>Managed Care</t>
  </si>
  <si>
    <t>Reactive Management</t>
  </si>
  <si>
    <t xml:space="preserve">Crisis Response </t>
  </si>
  <si>
    <t>State of the Art</t>
  </si>
  <si>
    <t>High Level</t>
  </si>
  <si>
    <t>Moderate Level</t>
  </si>
  <si>
    <t>Moderately Low-Level</t>
  </si>
  <si>
    <t>Minimum Level</t>
  </si>
  <si>
    <t>Full Time</t>
  </si>
  <si>
    <t>Part Time</t>
  </si>
  <si>
    <t xml:space="preserve">Custodians   </t>
  </si>
  <si>
    <t>Maintenance Personnel</t>
  </si>
  <si>
    <t>Grounds Personnel</t>
  </si>
  <si>
    <t>Managers</t>
  </si>
  <si>
    <t>Total Salary &amp; Benefits</t>
  </si>
  <si>
    <t>Total Full-Time Employee Count</t>
  </si>
  <si>
    <t>Total Part-Time Employee Count</t>
  </si>
  <si>
    <t>2020-2021</t>
  </si>
  <si>
    <t>SANTA ANA COLLEGE</t>
  </si>
  <si>
    <t>OM&amp;R</t>
  </si>
  <si>
    <t>E</t>
  </si>
  <si>
    <t>W</t>
  </si>
  <si>
    <t>P</t>
  </si>
  <si>
    <t>O</t>
  </si>
  <si>
    <t>Annual Operating, (Planned) Maintenance &amp; Repairs</t>
  </si>
  <si>
    <t>Annual Contract Services</t>
  </si>
  <si>
    <t xml:space="preserve">Number of Custodians
(Converted to Full-Time) </t>
  </si>
  <si>
    <t xml:space="preserve"> </t>
  </si>
  <si>
    <t>Number of Maintenance Staff</t>
  </si>
  <si>
    <t xml:space="preserve">SQFT per Maintenance Staff </t>
  </si>
  <si>
    <t>BLDG ID</t>
  </si>
  <si>
    <t>BLDG NAME</t>
  </si>
  <si>
    <t>YEAR BLT.</t>
  </si>
  <si>
    <t>LAST ADD.</t>
  </si>
  <si>
    <t>GSF</t>
  </si>
  <si>
    <t>ASF</t>
  </si>
  <si>
    <t>Efficiency</t>
  </si>
  <si>
    <t>Rooms</t>
  </si>
  <si>
    <t>Stations</t>
  </si>
  <si>
    <t>Assess. Notes</t>
  </si>
  <si>
    <t>Status</t>
  </si>
  <si>
    <t xml:space="preserve">REPL </t>
  </si>
  <si>
    <t>REPL</t>
  </si>
  <si>
    <t>RES</t>
  </si>
  <si>
    <t>% of REPL</t>
  </si>
  <si>
    <t>Source 1</t>
  </si>
  <si>
    <t>2018</t>
  </si>
  <si>
    <t>Source 2</t>
  </si>
  <si>
    <t>A</t>
  </si>
  <si>
    <t>Campus Total</t>
  </si>
  <si>
    <t>Source 1 FUSION Space Inventory 2020-2021</t>
  </si>
  <si>
    <t>Combine E</t>
  </si>
  <si>
    <t>CAMPUS</t>
  </si>
  <si>
    <t xml:space="preserve">BUILDING NAME </t>
  </si>
  <si>
    <t xml:space="preserve">Custodial/Maintenance Staffing (FTE) </t>
  </si>
  <si>
    <r>
      <rPr>
        <b/>
        <sz val="12"/>
        <color theme="1"/>
        <rFont val="Calibri"/>
        <family val="2"/>
        <scheme val="minor"/>
      </rPr>
      <t>E</t>
    </r>
    <r>
      <rPr>
        <sz val="12"/>
        <color theme="1"/>
        <rFont val="Calibri"/>
        <family val="2"/>
        <scheme val="minor"/>
      </rPr>
      <t>: Electric</t>
    </r>
  </si>
  <si>
    <t>$/GSF</t>
  </si>
  <si>
    <r>
      <rPr>
        <b/>
        <sz val="12"/>
        <color theme="1"/>
        <rFont val="Calibri"/>
        <family val="2"/>
        <scheme val="minor"/>
      </rPr>
      <t>E:</t>
    </r>
    <r>
      <rPr>
        <sz val="12"/>
        <color theme="1"/>
        <rFont val="Calibri"/>
        <family val="2"/>
        <scheme val="minor"/>
      </rPr>
      <t xml:space="preserve"> Gas</t>
    </r>
  </si>
  <si>
    <t>Campus Custodial FTE</t>
  </si>
  <si>
    <t>Campus Custodial (GSF/FTE)</t>
  </si>
  <si>
    <t>$/Site SF</t>
  </si>
  <si>
    <t>Campus Maintenance FTE</t>
  </si>
  <si>
    <r>
      <rPr>
        <b/>
        <sz val="12"/>
        <color theme="1"/>
        <rFont val="Calibri"/>
        <family val="2"/>
        <scheme val="minor"/>
      </rPr>
      <t>P</t>
    </r>
    <r>
      <rPr>
        <sz val="12"/>
        <color theme="1"/>
        <rFont val="Calibri"/>
        <family val="2"/>
        <scheme val="minor"/>
      </rPr>
      <t>: M&amp;O Staff</t>
    </r>
  </si>
  <si>
    <t>OM&amp;R &amp; O</t>
  </si>
  <si>
    <t>Custodial FTE for this Bldg</t>
  </si>
  <si>
    <t xml:space="preserve">(Campus GSF/FTE/Bldg GSF) </t>
  </si>
  <si>
    <t>Maintenance FTE for this Bldg</t>
  </si>
  <si>
    <t>Combine</t>
  </si>
  <si>
    <t>Number of Grounds Staff</t>
  </si>
  <si>
    <t xml:space="preserve">SQFT to maintain per Grounds Staff </t>
  </si>
  <si>
    <t>Site SQFT Grounds Only</t>
  </si>
  <si>
    <t xml:space="preserve">Site </t>
  </si>
  <si>
    <t>Projected SQFT per Grounds Staff</t>
  </si>
  <si>
    <t>Total Site Acreage converted to Square Footage</t>
  </si>
  <si>
    <t>CAMPUS GSF</t>
  </si>
  <si>
    <t>Science Center REPL: Built after 2018 Assessment - use Construction Hard Costs for 2021 then escalation 5% per annum</t>
  </si>
  <si>
    <t>Current Repair Cost</t>
  </si>
  <si>
    <t>Replacement Cost</t>
  </si>
  <si>
    <t xml:space="preserve">FCI  </t>
  </si>
  <si>
    <r>
      <t xml:space="preserve">Rancho Santiago Community College District
</t>
    </r>
    <r>
      <rPr>
        <b/>
        <sz val="16"/>
        <color theme="1"/>
        <rFont val="Calibri"/>
        <family val="2"/>
        <scheme val="minor"/>
      </rPr>
      <t>Repair &amp; Replacement Costs and Facilities Condition Index (FCI)</t>
    </r>
    <r>
      <rPr>
        <b/>
        <sz val="12"/>
        <color theme="1"/>
        <rFont val="Calibri"/>
        <family val="2"/>
        <scheme val="minor"/>
      </rPr>
      <t xml:space="preserve">
(</t>
    </r>
    <r>
      <rPr>
        <b/>
        <i/>
        <sz val="12"/>
        <color theme="1"/>
        <rFont val="Calibri"/>
        <family val="2"/>
        <scheme val="minor"/>
      </rPr>
      <t>FUSION 2018 Assessment; Facility Report, 25 January 2019</t>
    </r>
    <r>
      <rPr>
        <b/>
        <sz val="12"/>
        <color theme="1"/>
        <rFont val="Calibri"/>
        <family val="2"/>
        <scheme val="minor"/>
      </rPr>
      <t>)</t>
    </r>
  </si>
  <si>
    <r>
      <rPr>
        <b/>
        <i/>
        <sz val="12"/>
        <color theme="1"/>
        <rFont val="Calibri"/>
        <family val="2"/>
        <scheme val="minor"/>
      </rPr>
      <t xml:space="preserve">P: </t>
    </r>
    <r>
      <rPr>
        <i/>
        <sz val="12"/>
        <color theme="1"/>
        <rFont val="Calibri"/>
        <family val="2"/>
        <scheme val="minor"/>
      </rPr>
      <t xml:space="preserve">M&amp;O Staff </t>
    </r>
    <r>
      <rPr>
        <sz val="9"/>
        <color theme="1"/>
        <rFont val="Calibri"/>
        <family val="2"/>
        <scheme val="minor"/>
      </rPr>
      <t>Annual escalation 3%</t>
    </r>
  </si>
  <si>
    <r>
      <rPr>
        <b/>
        <i/>
        <sz val="12"/>
        <color theme="1"/>
        <rFont val="Calibri"/>
        <family val="2"/>
        <scheme val="minor"/>
      </rPr>
      <t>E:</t>
    </r>
    <r>
      <rPr>
        <i/>
        <sz val="12"/>
        <color theme="1"/>
        <rFont val="Calibri"/>
        <family val="2"/>
        <scheme val="minor"/>
      </rPr>
      <t xml:space="preserve"> Electric </t>
    </r>
    <r>
      <rPr>
        <sz val="9"/>
        <color theme="1"/>
        <rFont val="Calibri"/>
        <family val="2"/>
        <scheme val="minor"/>
      </rPr>
      <t>Annual escalation 4%</t>
    </r>
  </si>
  <si>
    <r>
      <rPr>
        <b/>
        <i/>
        <sz val="12"/>
        <color theme="1"/>
        <rFont val="Calibri"/>
        <family val="2"/>
        <scheme val="minor"/>
      </rPr>
      <t xml:space="preserve">OM&amp;R &amp; O: </t>
    </r>
    <r>
      <rPr>
        <i/>
        <sz val="12"/>
        <color theme="1"/>
        <rFont val="Calibri"/>
        <family val="2"/>
        <scheme val="minor"/>
      </rPr>
      <t xml:space="preserve">M&amp;O Expenditures </t>
    </r>
    <r>
      <rPr>
        <sz val="9"/>
        <color theme="1"/>
        <rFont val="Calibri"/>
        <family val="2"/>
        <scheme val="minor"/>
      </rPr>
      <t>Esc 3%</t>
    </r>
  </si>
  <si>
    <t>REPL Escalations</t>
  </si>
  <si>
    <t>RES Escalation</t>
  </si>
  <si>
    <t>E Escalation</t>
  </si>
  <si>
    <t>W Escalation</t>
  </si>
  <si>
    <t>Any projected increases/decreases</t>
  </si>
  <si>
    <t>O Escalation</t>
  </si>
  <si>
    <t>P Escalation</t>
  </si>
  <si>
    <t>FT Equivalent</t>
  </si>
  <si>
    <t>Projected Increase or Decrease in Custodial Staff</t>
  </si>
  <si>
    <t>BUILDING NAME/FACILITY</t>
  </si>
  <si>
    <t xml:space="preserve">SITE: </t>
  </si>
  <si>
    <t>Totals</t>
  </si>
  <si>
    <t>Total Site Acreage Grounds Only (Total Site Acreage- Total GSF)</t>
  </si>
  <si>
    <t>Total Gross Square Footage (GSF) FROM FUSION</t>
  </si>
  <si>
    <t>Total Assignable Square Footage (ASF) FROM FUSION</t>
  </si>
  <si>
    <t>Projected Increase or Decrease in Maintenance Staff</t>
  </si>
  <si>
    <t>Projected GSF per Maintenance Staff</t>
  </si>
  <si>
    <t xml:space="preserve">13.96 Acres
to SQFT = </t>
  </si>
  <si>
    <t>22.42 Acres
to SQFT =</t>
  </si>
  <si>
    <t xml:space="preserve">10.37 Acres
to SQFT =  </t>
  </si>
  <si>
    <t>7.96 Acres
to SQFT =</t>
  </si>
  <si>
    <t>42.6 Acres
to SQFT =</t>
  </si>
  <si>
    <t>Projected Increase or Decrease in Grounds Staff</t>
  </si>
  <si>
    <t>Source 2 FUSION 2018 Facilities Assessment + Escalation (30% through 2020, then 5% per annum)</t>
  </si>
  <si>
    <r>
      <t xml:space="preserve">% Annual Escalation - </t>
    </r>
    <r>
      <rPr>
        <b/>
        <sz val="12"/>
        <color theme="1"/>
        <rFont val="Calibri"/>
        <family val="2"/>
        <scheme val="minor"/>
      </rPr>
      <t>P</t>
    </r>
  </si>
  <si>
    <r>
      <t xml:space="preserve">% Annual Escalation - </t>
    </r>
    <r>
      <rPr>
        <b/>
        <sz val="12"/>
        <color theme="1"/>
        <rFont val="Calibri"/>
        <family val="2"/>
        <scheme val="minor"/>
      </rPr>
      <t>OM&amp;R &amp; O</t>
    </r>
  </si>
  <si>
    <r>
      <t xml:space="preserve">Historical Data </t>
    </r>
    <r>
      <rPr>
        <sz val="16"/>
        <color theme="1"/>
        <rFont val="Calibri"/>
        <family val="2"/>
        <scheme val="minor"/>
      </rPr>
      <t>2018-2019</t>
    </r>
  </si>
  <si>
    <r>
      <rPr>
        <b/>
        <sz val="12"/>
        <color theme="1"/>
        <rFont val="Calibri"/>
        <family val="2"/>
        <scheme val="minor"/>
      </rPr>
      <t>RES:</t>
    </r>
    <r>
      <rPr>
        <sz val="12"/>
        <color theme="1"/>
        <rFont val="Calibri"/>
        <family val="2"/>
        <scheme val="minor"/>
      </rPr>
      <t xml:space="preserve"> Present Value (Resale Value, Salvage Value</t>
    </r>
  </si>
  <si>
    <t>REPL-RES</t>
  </si>
  <si>
    <r>
      <t>% of</t>
    </r>
    <r>
      <rPr>
        <b/>
        <sz val="12"/>
        <color theme="1"/>
        <rFont val="Calibri"/>
        <family val="2"/>
        <scheme val="minor"/>
      </rPr>
      <t xml:space="preserve"> REPL</t>
    </r>
    <r>
      <rPr>
        <sz val="12"/>
        <color theme="1"/>
        <rFont val="Calibri"/>
        <family val="2"/>
        <scheme val="minor"/>
      </rPr>
      <t xml:space="preserve"> to calculate</t>
    </r>
    <r>
      <rPr>
        <b/>
        <sz val="12"/>
        <color theme="1"/>
        <rFont val="Calibri"/>
        <family val="2"/>
        <scheme val="minor"/>
      </rPr>
      <t xml:space="preserve"> RES</t>
    </r>
  </si>
  <si>
    <t>Year 1</t>
  </si>
  <si>
    <t>Year 2</t>
  </si>
  <si>
    <t>Year 3</t>
  </si>
  <si>
    <t>Year 4</t>
  </si>
  <si>
    <t>Year 5</t>
  </si>
  <si>
    <t>Year 6</t>
  </si>
  <si>
    <t>Year 7</t>
  </si>
  <si>
    <t>Year 8</t>
  </si>
  <si>
    <t>Year 9</t>
  </si>
  <si>
    <t>Rancho Santiago Community College District</t>
  </si>
  <si>
    <t>Year 10</t>
  </si>
  <si>
    <t>Building's Gross Square Foot "GSF" (From FUSION)</t>
  </si>
  <si>
    <t>YEAR BUILT</t>
  </si>
  <si>
    <t>Populates automatically with changes to Custodial or Maintenance Staffing</t>
  </si>
  <si>
    <t>Total Site Acreage FROM FUSION</t>
  </si>
  <si>
    <t>fix escalation</t>
  </si>
  <si>
    <t>U</t>
  </si>
  <si>
    <r>
      <rPr>
        <b/>
        <i/>
        <sz val="12"/>
        <color theme="1"/>
        <rFont val="Calibri"/>
        <family val="2"/>
        <scheme val="minor"/>
      </rPr>
      <t xml:space="preserve">U: (W) </t>
    </r>
    <r>
      <rPr>
        <i/>
        <sz val="12"/>
        <color theme="1"/>
        <rFont val="Calibri"/>
        <family val="2"/>
        <scheme val="minor"/>
      </rPr>
      <t>Water/Sewer</t>
    </r>
    <r>
      <rPr>
        <sz val="9"/>
        <color theme="1"/>
        <rFont val="Calibri"/>
        <family val="2"/>
        <scheme val="minor"/>
      </rPr>
      <t xml:space="preserve"> Annual escalation 4%</t>
    </r>
  </si>
  <si>
    <r>
      <t>% Annual Escalation -</t>
    </r>
    <r>
      <rPr>
        <b/>
        <sz val="12"/>
        <color theme="1"/>
        <rFont val="Calibri"/>
        <family val="2"/>
        <scheme val="minor"/>
      </rPr>
      <t xml:space="preserve"> U</t>
    </r>
    <r>
      <rPr>
        <sz val="12"/>
        <color theme="1"/>
        <rFont val="Calibri"/>
        <family val="2"/>
        <scheme val="minor"/>
      </rPr>
      <t xml:space="preserve"> (</t>
    </r>
    <r>
      <rPr>
        <b/>
        <sz val="12"/>
        <color theme="1"/>
        <rFont val="Calibri"/>
        <family val="2"/>
        <scheme val="minor"/>
      </rPr>
      <t>E &amp; W)</t>
    </r>
  </si>
  <si>
    <r>
      <rPr>
        <b/>
        <i/>
        <sz val="12"/>
        <color theme="1"/>
        <rFont val="Calibri"/>
        <family val="2"/>
        <scheme val="minor"/>
      </rPr>
      <t>U: (E)</t>
    </r>
    <r>
      <rPr>
        <i/>
        <sz val="12"/>
        <color theme="1"/>
        <rFont val="Calibri"/>
        <family val="2"/>
        <scheme val="minor"/>
      </rPr>
      <t xml:space="preserve"> Electric </t>
    </r>
    <r>
      <rPr>
        <sz val="9"/>
        <color theme="1"/>
        <rFont val="Calibri"/>
        <family val="2"/>
        <scheme val="minor"/>
      </rPr>
      <t>Annual escalation 4%</t>
    </r>
  </si>
  <si>
    <r>
      <rPr>
        <b/>
        <i/>
        <sz val="12"/>
        <color theme="1"/>
        <rFont val="Calibri"/>
        <family val="2"/>
        <scheme val="minor"/>
      </rPr>
      <t>U: (E)</t>
    </r>
    <r>
      <rPr>
        <i/>
        <sz val="12"/>
        <color theme="1"/>
        <rFont val="Calibri"/>
        <family val="2"/>
        <scheme val="minor"/>
      </rPr>
      <t xml:space="preserve"> Gas </t>
    </r>
    <r>
      <rPr>
        <sz val="9"/>
        <color theme="1"/>
        <rFont val="Calibri"/>
        <family val="2"/>
        <scheme val="minor"/>
      </rPr>
      <t>Annual escalation 4%</t>
    </r>
  </si>
  <si>
    <t>(Using APPA Staffing Formula)</t>
  </si>
  <si>
    <r>
      <t xml:space="preserve">SQFT per Grounds Staff to maintain
</t>
    </r>
    <r>
      <rPr>
        <b/>
        <sz val="14"/>
        <color theme="1"/>
        <rFont val="Calibri"/>
        <family val="2"/>
        <scheme val="minor"/>
      </rPr>
      <t>LEVEL 1</t>
    </r>
    <r>
      <rPr>
        <b/>
        <sz val="11"/>
        <color theme="1"/>
        <rFont val="Calibri"/>
        <family val="2"/>
        <scheme val="minor"/>
      </rPr>
      <t xml:space="preserve"> APPA Standard</t>
    </r>
  </si>
  <si>
    <r>
      <t xml:space="preserve">SQFT per Grounds Staff to maintain
</t>
    </r>
    <r>
      <rPr>
        <b/>
        <sz val="14"/>
        <color theme="1"/>
        <rFont val="Calibri"/>
        <family val="2"/>
        <scheme val="minor"/>
      </rPr>
      <t>LEVEL 2</t>
    </r>
    <r>
      <rPr>
        <b/>
        <sz val="11"/>
        <color theme="1"/>
        <rFont val="Calibri"/>
        <family val="2"/>
        <scheme val="minor"/>
      </rPr>
      <t xml:space="preserve"> APPA Standard</t>
    </r>
  </si>
  <si>
    <r>
      <t xml:space="preserve">SQFT per Grounds Staff to maintain
</t>
    </r>
    <r>
      <rPr>
        <b/>
        <sz val="14"/>
        <color theme="1"/>
        <rFont val="Calibri"/>
        <family val="2"/>
        <scheme val="minor"/>
      </rPr>
      <t xml:space="preserve">LEVEL 3 </t>
    </r>
    <r>
      <rPr>
        <b/>
        <sz val="11"/>
        <color theme="1"/>
        <rFont val="Calibri"/>
        <family val="2"/>
        <scheme val="minor"/>
      </rPr>
      <t>APPA Standard</t>
    </r>
  </si>
  <si>
    <r>
      <t xml:space="preserve">SQFT per Grounds Staff to maintain
</t>
    </r>
    <r>
      <rPr>
        <b/>
        <sz val="14"/>
        <color theme="1"/>
        <rFont val="Calibri"/>
        <family val="2"/>
        <scheme val="minor"/>
      </rPr>
      <t>LEVEL 4</t>
    </r>
    <r>
      <rPr>
        <b/>
        <sz val="11"/>
        <color theme="1"/>
        <rFont val="Calibri"/>
        <family val="2"/>
        <scheme val="minor"/>
      </rPr>
      <t xml:space="preserve"> APPA Standard</t>
    </r>
  </si>
  <si>
    <r>
      <t xml:space="preserve">SQFT per Grounds Staff to maintain
</t>
    </r>
    <r>
      <rPr>
        <b/>
        <sz val="14"/>
        <color theme="1"/>
        <rFont val="Calibri"/>
        <family val="2"/>
        <scheme val="minor"/>
      </rPr>
      <t>LEVEL 5</t>
    </r>
    <r>
      <rPr>
        <b/>
        <sz val="11"/>
        <color theme="1"/>
        <rFont val="Calibri"/>
        <family val="2"/>
        <scheme val="minor"/>
      </rPr>
      <t xml:space="preserve"> APPA Standard</t>
    </r>
  </si>
  <si>
    <t>Grounds level that should be met based on APPA Standard</t>
  </si>
  <si>
    <t>To increase or decrease projected Grounds Staff, use the yellow fillable box in the table below.</t>
  </si>
  <si>
    <t>To increase or decrease projected Custodial Staff, use the yellow fillable box in the table below.</t>
  </si>
  <si>
    <t>Maintenance Level that should be met based on
APPA Standard</t>
  </si>
  <si>
    <t>Cleaning Level that should be met based on APPA Standard</t>
  </si>
  <si>
    <r>
      <t xml:space="preserve">SQFT per Maintenance Personnel to maintain
</t>
    </r>
    <r>
      <rPr>
        <b/>
        <sz val="14"/>
        <color theme="1"/>
        <rFont val="Calibri"/>
        <family val="2"/>
        <scheme val="minor"/>
      </rPr>
      <t>LEVEL 1</t>
    </r>
    <r>
      <rPr>
        <b/>
        <sz val="11"/>
        <color theme="1"/>
        <rFont val="Calibri"/>
        <family val="2"/>
        <scheme val="minor"/>
      </rPr>
      <t xml:space="preserve"> APPA Standard</t>
    </r>
  </si>
  <si>
    <r>
      <t xml:space="preserve">SQFT per Maintenance Personnel to maintain
</t>
    </r>
    <r>
      <rPr>
        <b/>
        <sz val="14"/>
        <color theme="1"/>
        <rFont val="Calibri"/>
        <family val="2"/>
        <scheme val="minor"/>
      </rPr>
      <t>LEVEL 2</t>
    </r>
    <r>
      <rPr>
        <b/>
        <sz val="11"/>
        <color theme="1"/>
        <rFont val="Calibri"/>
        <family val="2"/>
        <scheme val="minor"/>
      </rPr>
      <t xml:space="preserve"> APPA Standard</t>
    </r>
  </si>
  <si>
    <r>
      <t xml:space="preserve">SQFT per Maintenance Personnel to maintain
</t>
    </r>
    <r>
      <rPr>
        <b/>
        <sz val="14"/>
        <color theme="1"/>
        <rFont val="Calibri"/>
        <family val="2"/>
        <scheme val="minor"/>
      </rPr>
      <t>LEVEL 3</t>
    </r>
    <r>
      <rPr>
        <b/>
        <sz val="11"/>
        <color theme="1"/>
        <rFont val="Calibri"/>
        <family val="2"/>
        <scheme val="minor"/>
      </rPr>
      <t xml:space="preserve"> APPA Standard</t>
    </r>
  </si>
  <si>
    <r>
      <t xml:space="preserve">SQFT per Maintenance Personnel to maintain
</t>
    </r>
    <r>
      <rPr>
        <b/>
        <sz val="14"/>
        <color theme="1"/>
        <rFont val="Calibri"/>
        <family val="2"/>
        <scheme val="minor"/>
      </rPr>
      <t>LEVEL 4</t>
    </r>
    <r>
      <rPr>
        <b/>
        <sz val="11"/>
        <color theme="1"/>
        <rFont val="Calibri"/>
        <family val="2"/>
        <scheme val="minor"/>
      </rPr>
      <t xml:space="preserve"> APPA Standard</t>
    </r>
  </si>
  <si>
    <r>
      <t xml:space="preserve">SQFT per Maintenance Personnel to maintain
</t>
    </r>
    <r>
      <rPr>
        <b/>
        <sz val="14"/>
        <color theme="1"/>
        <rFont val="Calibri"/>
        <family val="2"/>
        <scheme val="minor"/>
      </rPr>
      <t>LEVEL 5</t>
    </r>
    <r>
      <rPr>
        <b/>
        <sz val="11"/>
        <color theme="1"/>
        <rFont val="Calibri"/>
        <family val="2"/>
        <scheme val="minor"/>
      </rPr>
      <t xml:space="preserve"> APPA Standard</t>
    </r>
  </si>
  <si>
    <r>
      <t xml:space="preserve">Projected 
 </t>
    </r>
    <r>
      <rPr>
        <b/>
        <sz val="14"/>
        <color theme="1"/>
        <rFont val="Calibri"/>
        <family val="2"/>
        <scheme val="minor"/>
      </rPr>
      <t>Level</t>
    </r>
    <r>
      <rPr>
        <b/>
        <sz val="11"/>
        <color theme="1"/>
        <rFont val="Calibri"/>
        <family val="2"/>
        <scheme val="minor"/>
      </rPr>
      <t xml:space="preserve"> that should be met</t>
    </r>
  </si>
  <si>
    <r>
      <t xml:space="preserve">Projected 
Cleaning </t>
    </r>
    <r>
      <rPr>
        <b/>
        <sz val="14"/>
        <color theme="1"/>
        <rFont val="Calibri"/>
        <family val="2"/>
        <scheme val="minor"/>
      </rPr>
      <t>Level</t>
    </r>
    <r>
      <rPr>
        <b/>
        <sz val="11"/>
        <color theme="1"/>
        <rFont val="Calibri"/>
        <family val="2"/>
        <scheme val="minor"/>
      </rPr>
      <t xml:space="preserve"> that should be met</t>
    </r>
  </si>
  <si>
    <r>
      <t xml:space="preserve">Current </t>
    </r>
    <r>
      <rPr>
        <b/>
        <sz val="11"/>
        <color theme="1"/>
        <rFont val="Calibri"/>
        <family val="2"/>
        <scheme val="minor"/>
      </rPr>
      <t>Maintenance</t>
    </r>
    <r>
      <rPr>
        <sz val="11"/>
        <color theme="1"/>
        <rFont val="Calibri"/>
        <family val="2"/>
        <scheme val="minor"/>
      </rPr>
      <t xml:space="preserve"> Campus Level:</t>
    </r>
  </si>
  <si>
    <r>
      <t xml:space="preserve">Current </t>
    </r>
    <r>
      <rPr>
        <b/>
        <sz val="11"/>
        <color theme="1"/>
        <rFont val="Calibri"/>
        <family val="2"/>
        <scheme val="minor"/>
      </rPr>
      <t xml:space="preserve">Custodial </t>
    </r>
    <r>
      <rPr>
        <sz val="11"/>
        <color theme="1"/>
        <rFont val="Calibri"/>
        <family val="2"/>
        <scheme val="minor"/>
      </rPr>
      <t>Campus Level:</t>
    </r>
  </si>
  <si>
    <t>Campus Maintenance (GSF/FTE)</t>
  </si>
  <si>
    <t>OM&amp;R Escalation</t>
  </si>
  <si>
    <t>Multiplier</t>
  </si>
  <si>
    <r>
      <rPr>
        <b/>
        <sz val="12"/>
        <color theme="1"/>
        <rFont val="Calibri"/>
        <family val="2"/>
        <scheme val="minor"/>
      </rPr>
      <t>W:</t>
    </r>
    <r>
      <rPr>
        <sz val="12"/>
        <color theme="1"/>
        <rFont val="Calibri"/>
        <family val="2"/>
        <scheme val="minor"/>
      </rPr>
      <t>Water/Sewer</t>
    </r>
  </si>
  <si>
    <r>
      <t xml:space="preserve">Campus Goal APPA Level: </t>
    </r>
    <r>
      <rPr>
        <b/>
        <sz val="12"/>
        <rFont val="Calibri"/>
        <family val="2"/>
        <scheme val="minor"/>
      </rPr>
      <t>3</t>
    </r>
  </si>
  <si>
    <r>
      <t>Campus Goal APPA Level:</t>
    </r>
    <r>
      <rPr>
        <b/>
        <sz val="12"/>
        <rFont val="Calibri"/>
        <family val="2"/>
        <scheme val="minor"/>
      </rPr>
      <t xml:space="preserve"> 3</t>
    </r>
  </si>
  <si>
    <t>10-YEAR PROJECTION</t>
  </si>
  <si>
    <r>
      <rPr>
        <b/>
        <i/>
        <sz val="12"/>
        <color theme="1"/>
        <rFont val="Calibri"/>
        <family val="2"/>
        <scheme val="minor"/>
      </rPr>
      <t xml:space="preserve">Future Renovations/Upgrades* </t>
    </r>
    <r>
      <rPr>
        <i/>
        <sz val="12"/>
        <color theme="1"/>
        <rFont val="Calibri"/>
        <family val="2"/>
        <scheme val="minor"/>
      </rPr>
      <t xml:space="preserve">
(Scheduled Maintenance &amp; Repairs)</t>
    </r>
  </si>
  <si>
    <t xml:space="preserve">*For Future Renovations/Upgrades, refer to FUSION and the Assessment Schedule.  Enter the amount of the deficiency/repair/replacement under the year it will be addressed. </t>
  </si>
  <si>
    <r>
      <t xml:space="preserve">Annual </t>
    </r>
    <r>
      <rPr>
        <b/>
        <sz val="11"/>
        <color theme="1"/>
        <rFont val="Calibri"/>
        <family val="2"/>
        <scheme val="minor"/>
      </rPr>
      <t>Water</t>
    </r>
    <r>
      <rPr>
        <sz val="11"/>
        <color theme="1"/>
        <rFont val="Calibri"/>
        <family val="2"/>
        <scheme val="minor"/>
      </rPr>
      <t xml:space="preserve"> Usage (includes landscaping)</t>
    </r>
  </si>
  <si>
    <t>Year Built</t>
  </si>
  <si>
    <r>
      <rPr>
        <b/>
        <sz val="11"/>
        <color theme="1"/>
        <rFont val="Calibri"/>
        <family val="2"/>
        <scheme val="minor"/>
      </rPr>
      <t>(U) Utilities</t>
    </r>
    <r>
      <rPr>
        <sz val="11"/>
        <color theme="1"/>
        <rFont val="Calibri"/>
        <family val="2"/>
        <scheme val="minor"/>
      </rPr>
      <t xml:space="preserve"> = (E+W)</t>
    </r>
  </si>
  <si>
    <t>Projected Site Cost = U + OM&amp;R + O + P</t>
  </si>
  <si>
    <t>EXISTING CUSTODIAL STAFF and Recommended APPA Staffing Standards</t>
  </si>
  <si>
    <t>EXISTING MAINTENANCE STAFF and Recommended APPA Staffing Standards</t>
  </si>
  <si>
    <t>EXISTING GROUNDS STAFF and Recommended APPA Staffing Standards</t>
  </si>
  <si>
    <t>Interactive Section For Projections</t>
  </si>
  <si>
    <t>Select fiscal year from dropdown list above and enter data in yellow boxes below</t>
  </si>
  <si>
    <t>2021-2022</t>
  </si>
  <si>
    <t>2022-2023</t>
  </si>
  <si>
    <t>2023-2024</t>
  </si>
  <si>
    <t>2024-2025</t>
  </si>
  <si>
    <t>2025-2026</t>
  </si>
  <si>
    <t>2026-2027</t>
  </si>
  <si>
    <t>2027-2028</t>
  </si>
  <si>
    <t>2028-2029</t>
  </si>
  <si>
    <t>2029-2030</t>
  </si>
  <si>
    <t>2030-2031</t>
  </si>
  <si>
    <t>Historical
Fiscal Year</t>
  </si>
  <si>
    <t>Future
Renovations
&amp; Upgrades</t>
  </si>
  <si>
    <r>
      <t xml:space="preserve">Annual </t>
    </r>
    <r>
      <rPr>
        <b/>
        <sz val="11"/>
        <color theme="1"/>
        <rFont val="Calibri"/>
        <family val="2"/>
        <scheme val="minor"/>
      </rPr>
      <t>Energy</t>
    </r>
    <r>
      <rPr>
        <sz val="11"/>
        <color theme="1"/>
        <rFont val="Calibri"/>
        <family val="2"/>
        <scheme val="minor"/>
      </rPr>
      <t xml:space="preserve"> Usage (SCE)</t>
    </r>
  </si>
  <si>
    <r>
      <t xml:space="preserve">Annual </t>
    </r>
    <r>
      <rPr>
        <b/>
        <sz val="11"/>
        <color theme="1"/>
        <rFont val="Calibri"/>
        <family val="2"/>
        <scheme val="minor"/>
      </rPr>
      <t>Gas</t>
    </r>
    <r>
      <rPr>
        <sz val="11"/>
        <color theme="1"/>
        <rFont val="Calibri"/>
        <family val="2"/>
        <scheme val="minor"/>
      </rPr>
      <t xml:space="preserve"> Usage (SCG)</t>
    </r>
  </si>
  <si>
    <r>
      <t xml:space="preserve">GSF per Custodian to maintain
</t>
    </r>
    <r>
      <rPr>
        <b/>
        <sz val="14"/>
        <color theme="1"/>
        <rFont val="Calibri"/>
        <family val="2"/>
        <scheme val="minor"/>
      </rPr>
      <t>LEVEL 1</t>
    </r>
    <r>
      <rPr>
        <b/>
        <sz val="11"/>
        <color theme="1"/>
        <rFont val="Calibri"/>
        <family val="2"/>
        <scheme val="minor"/>
      </rPr>
      <t xml:space="preserve"> APPA Standard</t>
    </r>
  </si>
  <si>
    <r>
      <t xml:space="preserve">GSF per Custodian to maintain
</t>
    </r>
    <r>
      <rPr>
        <b/>
        <sz val="14"/>
        <color theme="1"/>
        <rFont val="Calibri"/>
        <family val="2"/>
        <scheme val="minor"/>
      </rPr>
      <t>LEVEL 2</t>
    </r>
    <r>
      <rPr>
        <b/>
        <sz val="11"/>
        <color theme="1"/>
        <rFont val="Calibri"/>
        <family val="2"/>
        <scheme val="minor"/>
      </rPr>
      <t xml:space="preserve"> APPA Standard</t>
    </r>
  </si>
  <si>
    <r>
      <t xml:space="preserve">GSF per Custodian to maintain
</t>
    </r>
    <r>
      <rPr>
        <b/>
        <sz val="14"/>
        <color theme="1"/>
        <rFont val="Calibri"/>
        <family val="2"/>
        <scheme val="minor"/>
      </rPr>
      <t>LEVEL 3</t>
    </r>
    <r>
      <rPr>
        <b/>
        <sz val="11"/>
        <color theme="1"/>
        <rFont val="Calibri"/>
        <family val="2"/>
        <scheme val="minor"/>
      </rPr>
      <t xml:space="preserve"> APPA Standard</t>
    </r>
  </si>
  <si>
    <r>
      <t xml:space="preserve">GSF per Custodian to maintain
</t>
    </r>
    <r>
      <rPr>
        <b/>
        <sz val="14"/>
        <color theme="1"/>
        <rFont val="Calibri"/>
        <family val="2"/>
        <scheme val="minor"/>
      </rPr>
      <t>LEVEL 4</t>
    </r>
    <r>
      <rPr>
        <b/>
        <sz val="11"/>
        <color theme="1"/>
        <rFont val="Calibri"/>
        <family val="2"/>
        <scheme val="minor"/>
      </rPr>
      <t xml:space="preserve"> APPA Standard</t>
    </r>
  </si>
  <si>
    <r>
      <t xml:space="preserve">GSF per Custodian to maintain
</t>
    </r>
    <r>
      <rPr>
        <b/>
        <sz val="14"/>
        <color theme="1"/>
        <rFont val="Calibri"/>
        <family val="2"/>
        <scheme val="minor"/>
      </rPr>
      <t xml:space="preserve">LEVEL 5 </t>
    </r>
    <r>
      <rPr>
        <b/>
        <sz val="11"/>
        <color theme="1"/>
        <rFont val="Calibri"/>
        <family val="2"/>
        <scheme val="minor"/>
      </rPr>
      <t>APPA Standard</t>
    </r>
  </si>
  <si>
    <t>District Operations Center</t>
  </si>
  <si>
    <t>DISTRICT OPERATIONS CENTER</t>
  </si>
  <si>
    <t>DOC</t>
  </si>
  <si>
    <t>RSCCD: DISTRICT OPERATIONS CENTER</t>
  </si>
  <si>
    <t>Unkempt Neglect</t>
  </si>
  <si>
    <t>Custodian Salaries</t>
  </si>
  <si>
    <t>Maintenance Personnel Salaries</t>
  </si>
  <si>
    <t>Grounds Personnel Salaries</t>
  </si>
  <si>
    <t>Manager's Salaries</t>
  </si>
  <si>
    <t>Average Custodian Salaries per Square Foot of GSF</t>
  </si>
  <si>
    <t>Average Maintenance Salaries per Square Foot of GSF</t>
  </si>
  <si>
    <t>Average Grounds Salaries per Site Acreage (Grounds Only) in SQFT</t>
  </si>
  <si>
    <t>Average Manager's Salaries per Square Foot of GSF</t>
  </si>
  <si>
    <t>Average Expense per GSF +  Average Expense per Site Acreage in SQFT</t>
  </si>
  <si>
    <t>Average Expense Per Square Foot of Site Acreage in SQFT</t>
  </si>
  <si>
    <t>Average Expense Per Square Foot of GSF</t>
  </si>
  <si>
    <t>Conversion to Expense per SQ FT</t>
  </si>
  <si>
    <t>Fiscal Year Annualized Salaries for Custodians</t>
  </si>
  <si>
    <t>Fiscal Year Custodial Salaries per GSF</t>
  </si>
  <si>
    <t>Projected Increase or Decrease in Custodial Staffing Salaries</t>
  </si>
  <si>
    <t>Projected Total Salaries for Custodial Staffing</t>
  </si>
  <si>
    <t>To increase or decrease projected Maintenance Staff, use the yellow fillable box in the table below.</t>
  </si>
  <si>
    <t>MAINTENANCE STAFFING PROJECTIONS AND SALARIES</t>
  </si>
  <si>
    <t>CUSTODIAL STAFFING PROJECTIONS AND SALARIES</t>
  </si>
  <si>
    <t>GROUNDS STAFFING PROJECTIONS AND SALARIES</t>
  </si>
  <si>
    <r>
      <t xml:space="preserve">
Maintenance</t>
    </r>
    <r>
      <rPr>
        <b/>
        <sz val="14"/>
        <color theme="1"/>
        <rFont val="Calibri"/>
        <family val="2"/>
        <scheme val="minor"/>
      </rPr>
      <t xml:space="preserve"> Level</t>
    </r>
    <r>
      <rPr>
        <b/>
        <sz val="11"/>
        <color theme="1"/>
        <rFont val="Calibri"/>
        <family val="2"/>
        <scheme val="minor"/>
      </rPr>
      <t xml:space="preserve"> that should be met</t>
    </r>
  </si>
  <si>
    <t>Fiscal Year Annualized Salaries for Maintenance Staff</t>
  </si>
  <si>
    <t>Fiscal Year Maintenance Staff Salaries per GSF</t>
  </si>
  <si>
    <t>Projected Total Salaries for Maintenance Staffing</t>
  </si>
  <si>
    <t>Fiscal Year Annualized Salaries for Grounds Staff</t>
  </si>
  <si>
    <t>Fiscal Year Grounds Salaries per SQFT</t>
  </si>
  <si>
    <t>Projected Increase or Decrease in Grounds Staffing Salaries</t>
  </si>
  <si>
    <t>Projected Total Salaries for Grounds Staffing</t>
  </si>
  <si>
    <t>Increase or Decrease in Maintenance Staffing Salaries</t>
  </si>
  <si>
    <t xml:space="preserve"> Projected Maintenance and Operations Expenses (by Building) </t>
  </si>
  <si>
    <t xml:space="preserve">Sub Total Building Operating &amp; Repair Expenses </t>
  </si>
  <si>
    <t>Total Building Operating &amp; Repair Expenses</t>
  </si>
  <si>
    <t>Description of Expenses</t>
  </si>
  <si>
    <t>CAMPUSWIDE HISTORICAL &amp; PROJECTED EXPENSES</t>
  </si>
  <si>
    <t xml:space="preserve">     (E) is Present Value of Energy Expenses combined (Gas and Electricity) Average Expense per GSF </t>
  </si>
  <si>
    <t xml:space="preserve">     (W) is Present Value of Water Expenses per Site Acreage converted to sqft;  Avg. Expense per sqft</t>
  </si>
  <si>
    <r>
      <rPr>
        <b/>
        <sz val="11"/>
        <color theme="1"/>
        <rFont val="Calibri"/>
        <family val="2"/>
        <scheme val="minor"/>
      </rPr>
      <t>(OM&amp;R)</t>
    </r>
    <r>
      <rPr>
        <sz val="11"/>
        <color theme="1"/>
        <rFont val="Calibri"/>
        <family val="2"/>
        <scheme val="minor"/>
      </rPr>
      <t xml:space="preserve"> = Present Value of Operating, Maintenance &amp; Repairs; 
         Average Expense per square foot is Total OM&amp;R/Total Campus GSF</t>
    </r>
  </si>
  <si>
    <r>
      <rPr>
        <b/>
        <sz val="11"/>
        <color theme="1"/>
        <rFont val="Calibri"/>
        <family val="2"/>
        <scheme val="minor"/>
      </rPr>
      <t xml:space="preserve">(O) </t>
    </r>
    <r>
      <rPr>
        <sz val="11"/>
        <color theme="1"/>
        <rFont val="Calibri"/>
        <family val="2"/>
        <scheme val="minor"/>
      </rPr>
      <t xml:space="preserve"> = Present Value of other known expenses (Contract Services) Average Expense per GSF</t>
    </r>
  </si>
  <si>
    <r>
      <rPr>
        <b/>
        <sz val="11"/>
        <color theme="1"/>
        <rFont val="Calibri"/>
        <family val="2"/>
        <scheme val="minor"/>
      </rPr>
      <t xml:space="preserve">(P) </t>
    </r>
    <r>
      <rPr>
        <sz val="11"/>
        <color theme="1"/>
        <rFont val="Calibri"/>
        <family val="2"/>
        <scheme val="minor"/>
      </rPr>
      <t xml:space="preserve"> = Payroll Salaries of Custodial, Maintenance, Grounds &amp; Management Personnel 
         Average Expense per square foot including grounds </t>
    </r>
  </si>
  <si>
    <t>Projected Expenses after
10 Years</t>
  </si>
  <si>
    <t>Projected Expenses after
20 Years</t>
  </si>
  <si>
    <t>Developed by Facility Planning, Construction &amp; District Support Services at RSCCD</t>
  </si>
  <si>
    <t>HISTORICAL FISCAL YEAR &amp; PROJECTED STAFFING WORKSHEET</t>
  </si>
  <si>
    <t>Historical FY</t>
  </si>
  <si>
    <t>HISTORICAL FY</t>
  </si>
  <si>
    <t>Historical FY:</t>
  </si>
  <si>
    <t xml:space="preserve">
Historical
Fiscal Year
Expenses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</si>
</sst>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5" formatCode="&quot;$&quot;#,##0_);\(&quot;$&quot;#,##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164" formatCode="#,##0.0"/>
    <numFmt numFmtId="165" formatCode="0.0000"/>
    <numFmt numFmtId="166" formatCode="&quot;$&quot;#,##0.00"/>
    <numFmt numFmtId="167" formatCode="&quot;$&quot;#,##0"/>
    <numFmt numFmtId="168" formatCode="&quot;$&quot;#,##0.0000"/>
    <numFmt numFmtId="169" formatCode="#,##0.0000"/>
    <numFmt numFmtId="170" formatCode="_(&quot;$&quot;* #,##0.0000_);_(&quot;$&quot;* \(#,##0.0000\);_(&quot;$&quot;* &quot;-&quot;????_);_(@_)"/>
    <numFmt numFmtId="171" formatCode="0.0"/>
  </numFmts>
  <fonts count="3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0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2"/>
      <color theme="1"/>
      <name val="Times New Roman"/>
      <family val="1"/>
    </font>
    <font>
      <sz val="9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8"/>
      <color rgb="FFFF0000"/>
      <name val="Calibri"/>
      <family val="2"/>
      <scheme val="minor"/>
    </font>
    <font>
      <b/>
      <sz val="12"/>
      <color rgb="FFFB4633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</font>
    <font>
      <sz val="16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  "/>
    </font>
    <font>
      <b/>
      <sz val="12"/>
      <name val="Calibri"/>
      <family val="2"/>
      <scheme val="minor"/>
    </font>
    <font>
      <sz val="8"/>
      <color rgb="FFFF0000"/>
      <name val="Calibri"/>
      <family val="2"/>
      <scheme val="minor"/>
    </font>
    <font>
      <b/>
      <sz val="16"/>
      <color theme="1"/>
      <name val="Calibri"/>
      <family val="2"/>
    </font>
    <font>
      <sz val="28"/>
      <color theme="1"/>
      <name val="Calibri"/>
      <family val="2"/>
      <scheme val="minor"/>
    </font>
    <font>
      <sz val="12"/>
      <color theme="1" tint="0.34998626667073579"/>
      <name val="Calibri"/>
      <family val="2"/>
      <scheme val="minor"/>
    </font>
    <font>
      <sz val="11"/>
      <color theme="1" tint="0.34998626667073579"/>
      <name val="Calibri"/>
      <family val="2"/>
      <scheme val="minor"/>
    </font>
    <font>
      <sz val="12"/>
      <color theme="1" tint="0.249977111117893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8"/>
      <name val="Calibri"/>
      <family val="2"/>
      <scheme val="minor"/>
    </font>
    <font>
      <sz val="16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2"/>
      <color theme="1" tint="0.34998626667073579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C2C2C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medium">
        <color rgb="FF000000"/>
      </top>
      <bottom/>
      <diagonal/>
    </border>
    <border>
      <left style="medium">
        <color indexed="64"/>
      </left>
      <right/>
      <top style="medium">
        <color auto="1"/>
      </top>
      <bottom/>
      <diagonal/>
    </border>
    <border>
      <left/>
      <right style="medium">
        <color indexed="64"/>
      </right>
      <top style="medium">
        <color auto="1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9">
    <xf numFmtId="0" fontId="0" fillId="0" borderId="0" xfId="0"/>
    <xf numFmtId="0" fontId="0" fillId="10" borderId="0" xfId="0" applyFill="1"/>
    <xf numFmtId="0" fontId="0" fillId="0" borderId="1" xfId="0" applyBorder="1" applyAlignment="1">
      <alignment horizontal="center"/>
    </xf>
    <xf numFmtId="0" fontId="1" fillId="13" borderId="1" xfId="0" applyFont="1" applyFill="1" applyBorder="1" applyAlignment="1">
      <alignment horizontal="center"/>
    </xf>
    <xf numFmtId="0" fontId="0" fillId="16" borderId="0" xfId="0" applyFill="1"/>
    <xf numFmtId="0" fontId="0" fillId="13" borderId="1" xfId="0" applyFill="1" applyBorder="1"/>
    <xf numFmtId="0" fontId="0" fillId="0" borderId="43" xfId="0" applyBorder="1"/>
    <xf numFmtId="0" fontId="1" fillId="0" borderId="1" xfId="0" applyFont="1" applyBorder="1" applyAlignment="1">
      <alignment horizontal="center"/>
    </xf>
    <xf numFmtId="0" fontId="21" fillId="0" borderId="0" xfId="0" applyFont="1"/>
    <xf numFmtId="0" fontId="20" fillId="9" borderId="4" xfId="0" applyFont="1" applyFill="1" applyBorder="1" applyProtection="1">
      <protection locked="0"/>
    </xf>
    <xf numFmtId="3" fontId="0" fillId="9" borderId="4" xfId="0" applyNumberFormat="1" applyFill="1" applyBorder="1" applyProtection="1">
      <protection locked="0"/>
    </xf>
    <xf numFmtId="4" fontId="0" fillId="9" borderId="4" xfId="0" applyNumberFormat="1" applyFill="1" applyBorder="1" applyProtection="1">
      <protection locked="0"/>
    </xf>
    <xf numFmtId="167" fontId="20" fillId="9" borderId="44" xfId="0" applyNumberFormat="1" applyFont="1" applyFill="1" applyBorder="1" applyProtection="1">
      <protection locked="0"/>
    </xf>
    <xf numFmtId="167" fontId="20" fillId="9" borderId="45" xfId="0" applyNumberFormat="1" applyFont="1" applyFill="1" applyBorder="1" applyProtection="1">
      <protection locked="0"/>
    </xf>
    <xf numFmtId="167" fontId="20" fillId="9" borderId="47" xfId="0" applyNumberFormat="1" applyFont="1" applyFill="1" applyBorder="1" applyProtection="1">
      <protection locked="0"/>
    </xf>
    <xf numFmtId="167" fontId="20" fillId="9" borderId="46" xfId="0" applyNumberFormat="1" applyFont="1" applyFill="1" applyBorder="1" applyProtection="1">
      <protection locked="0"/>
    </xf>
    <xf numFmtId="167" fontId="20" fillId="9" borderId="48" xfId="0" applyNumberFormat="1" applyFont="1" applyFill="1" applyBorder="1" applyProtection="1">
      <protection locked="0"/>
    </xf>
    <xf numFmtId="167" fontId="20" fillId="9" borderId="4" xfId="0" applyNumberFormat="1" applyFont="1" applyFill="1" applyBorder="1" applyProtection="1">
      <protection locked="0"/>
    </xf>
    <xf numFmtId="0" fontId="2" fillId="9" borderId="1" xfId="0" applyFont="1" applyFill="1" applyBorder="1" applyProtection="1">
      <protection locked="0"/>
    </xf>
    <xf numFmtId="0" fontId="6" fillId="0" borderId="9" xfId="0" applyFont="1" applyBorder="1"/>
    <xf numFmtId="0" fontId="1" fillId="3" borderId="4" xfId="0" applyFont="1" applyFill="1" applyBorder="1" applyAlignment="1">
      <alignment horizontal="center"/>
    </xf>
    <xf numFmtId="0" fontId="1" fillId="16" borderId="4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 wrapText="1"/>
    </xf>
    <xf numFmtId="0" fontId="3" fillId="3" borderId="4" xfId="0" applyFont="1" applyFill="1" applyBorder="1" applyAlignment="1">
      <alignment horizontal="center"/>
    </xf>
    <xf numFmtId="0" fontId="1" fillId="5" borderId="5" xfId="0" applyFont="1" applyFill="1" applyBorder="1"/>
    <xf numFmtId="0" fontId="0" fillId="5" borderId="6" xfId="0" applyFill="1" applyBorder="1"/>
    <xf numFmtId="0" fontId="0" fillId="16" borderId="6" xfId="0" applyFill="1" applyBorder="1"/>
    <xf numFmtId="0" fontId="0" fillId="16" borderId="7" xfId="0" applyFill="1" applyBorder="1"/>
    <xf numFmtId="0" fontId="0" fillId="16" borderId="0" xfId="0" applyFill="1" applyAlignment="1">
      <alignment horizontal="center"/>
    </xf>
    <xf numFmtId="42" fontId="0" fillId="16" borderId="4" xfId="0" quotePrefix="1" applyNumberFormat="1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0" xfId="0" applyAlignment="1">
      <alignment horizontal="center"/>
    </xf>
    <xf numFmtId="0" fontId="27" fillId="0" borderId="0" xfId="0" quotePrefix="1" applyFont="1" applyAlignment="1">
      <alignment horizontal="center"/>
    </xf>
    <xf numFmtId="3" fontId="27" fillId="0" borderId="0" xfId="0" applyNumberFormat="1" applyFont="1" applyAlignment="1">
      <alignment horizontal="center"/>
    </xf>
    <xf numFmtId="164" fontId="27" fillId="0" borderId="0" xfId="0" quotePrefix="1" applyNumberFormat="1" applyFont="1" applyAlignment="1">
      <alignment horizontal="center"/>
    </xf>
    <xf numFmtId="3" fontId="27" fillId="0" borderId="0" xfId="0" quotePrefix="1" applyNumberFormat="1" applyFont="1" applyAlignment="1">
      <alignment horizontal="center"/>
    </xf>
    <xf numFmtId="166" fontId="28" fillId="0" borderId="0" xfId="0" applyNumberFormat="1" applyFont="1"/>
    <xf numFmtId="165" fontId="28" fillId="0" borderId="0" xfId="0" applyNumberFormat="1" applyFont="1"/>
    <xf numFmtId="0" fontId="1" fillId="13" borderId="43" xfId="0" applyFont="1" applyFill="1" applyBorder="1"/>
    <xf numFmtId="0" fontId="1" fillId="13" borderId="27" xfId="0" applyFont="1" applyFill="1" applyBorder="1"/>
    <xf numFmtId="0" fontId="0" fillId="9" borderId="6" xfId="0" applyFill="1" applyBorder="1"/>
    <xf numFmtId="0" fontId="0" fillId="0" borderId="0" xfId="0" applyAlignment="1">
      <alignment horizontal="center" wrapText="1"/>
    </xf>
    <xf numFmtId="0" fontId="0" fillId="0" borderId="9" xfId="0" applyBorder="1"/>
    <xf numFmtId="0" fontId="0" fillId="5" borderId="7" xfId="0" applyFill="1" applyBorder="1"/>
    <xf numFmtId="0" fontId="0" fillId="0" borderId="3" xfId="0" applyBorder="1"/>
    <xf numFmtId="0" fontId="1" fillId="13" borderId="42" xfId="0" applyFont="1" applyFill="1" applyBorder="1" applyAlignment="1">
      <alignment horizontal="center"/>
    </xf>
    <xf numFmtId="3" fontId="3" fillId="9" borderId="4" xfId="0" applyNumberFormat="1" applyFont="1" applyFill="1" applyBorder="1" applyAlignment="1" applyProtection="1">
      <alignment horizontal="right" vertical="center" wrapText="1"/>
      <protection locked="0"/>
    </xf>
    <xf numFmtId="3" fontId="3" fillId="9" borderId="5" xfId="0" applyNumberFormat="1" applyFont="1" applyFill="1" applyBorder="1" applyAlignment="1" applyProtection="1">
      <alignment horizontal="right" vertical="center" wrapText="1"/>
      <protection locked="0"/>
    </xf>
    <xf numFmtId="0" fontId="1" fillId="9" borderId="4" xfId="0" applyFont="1" applyFill="1" applyBorder="1" applyAlignment="1" applyProtection="1">
      <alignment horizontal="center"/>
      <protection locked="0"/>
    </xf>
    <xf numFmtId="0" fontId="0" fillId="2" borderId="2" xfId="0" applyFill="1" applyBorder="1"/>
    <xf numFmtId="0" fontId="1" fillId="3" borderId="55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 wrapText="1"/>
    </xf>
    <xf numFmtId="0" fontId="4" fillId="3" borderId="55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wrapText="1"/>
    </xf>
    <xf numFmtId="3" fontId="17" fillId="4" borderId="55" xfId="0" applyNumberFormat="1" applyFont="1" applyFill="1" applyBorder="1" applyAlignment="1">
      <alignment horizontal="center"/>
    </xf>
    <xf numFmtId="3" fontId="17" fillId="5" borderId="1" xfId="0" applyNumberFormat="1" applyFont="1" applyFill="1" applyBorder="1" applyAlignment="1">
      <alignment horizontal="center"/>
    </xf>
    <xf numFmtId="3" fontId="17" fillId="6" borderId="1" xfId="0" applyNumberFormat="1" applyFont="1" applyFill="1" applyBorder="1" applyAlignment="1">
      <alignment horizontal="center"/>
    </xf>
    <xf numFmtId="3" fontId="17" fillId="7" borderId="1" xfId="0" applyNumberFormat="1" applyFont="1" applyFill="1" applyBorder="1" applyAlignment="1">
      <alignment horizontal="center"/>
    </xf>
    <xf numFmtId="3" fontId="17" fillId="8" borderId="1" xfId="0" applyNumberFormat="1" applyFont="1" applyFill="1" applyBorder="1" applyAlignment="1">
      <alignment horizontal="center"/>
    </xf>
    <xf numFmtId="0" fontId="30" fillId="2" borderId="39" xfId="0" applyFont="1" applyFill="1" applyBorder="1"/>
    <xf numFmtId="0" fontId="30" fillId="2" borderId="0" xfId="0" applyFont="1" applyFill="1"/>
    <xf numFmtId="0" fontId="1" fillId="13" borderId="55" xfId="0" applyFont="1" applyFill="1" applyBorder="1" applyAlignment="1">
      <alignment horizontal="center"/>
    </xf>
    <xf numFmtId="0" fontId="1" fillId="13" borderId="1" xfId="0" applyFont="1" applyFill="1" applyBorder="1" applyAlignment="1">
      <alignment horizontal="center" wrapText="1"/>
    </xf>
    <xf numFmtId="0" fontId="1" fillId="13" borderId="43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1" fillId="13" borderId="27" xfId="0" applyFont="1" applyFill="1" applyBorder="1" applyAlignment="1">
      <alignment horizontal="center" wrapText="1"/>
    </xf>
    <xf numFmtId="0" fontId="1" fillId="13" borderId="42" xfId="0" applyFont="1" applyFill="1" applyBorder="1" applyAlignment="1">
      <alignment horizontal="center" wrapText="1"/>
    </xf>
    <xf numFmtId="0" fontId="1" fillId="13" borderId="58" xfId="0" applyFont="1" applyFill="1" applyBorder="1" applyAlignment="1">
      <alignment horizontal="center" wrapText="1"/>
    </xf>
    <xf numFmtId="0" fontId="21" fillId="15" borderId="55" xfId="0" applyFont="1" applyFill="1" applyBorder="1" applyAlignment="1">
      <alignment horizontal="center" wrapText="1"/>
    </xf>
    <xf numFmtId="0" fontId="7" fillId="15" borderId="1" xfId="0" applyFont="1" applyFill="1" applyBorder="1" applyAlignment="1">
      <alignment horizontal="center"/>
    </xf>
    <xf numFmtId="3" fontId="19" fillId="15" borderId="1" xfId="0" applyNumberFormat="1" applyFont="1" applyFill="1" applyBorder="1" applyAlignment="1">
      <alignment horizontal="center"/>
    </xf>
    <xf numFmtId="164" fontId="19" fillId="15" borderId="1" xfId="0" applyNumberFormat="1" applyFont="1" applyFill="1" applyBorder="1" applyAlignment="1">
      <alignment horizontal="center"/>
    </xf>
    <xf numFmtId="0" fontId="17" fillId="15" borderId="0" xfId="0" applyFont="1" applyFill="1" applyAlignment="1">
      <alignment horizontal="center"/>
    </xf>
    <xf numFmtId="0" fontId="19" fillId="15" borderId="54" xfId="0" quotePrefix="1" applyFont="1" applyFill="1" applyBorder="1" applyAlignment="1">
      <alignment horizontal="center"/>
    </xf>
    <xf numFmtId="164" fontId="19" fillId="15" borderId="42" xfId="0" quotePrefix="1" applyNumberFormat="1" applyFont="1" applyFill="1" applyBorder="1" applyAlignment="1">
      <alignment horizontal="center"/>
    </xf>
    <xf numFmtId="3" fontId="19" fillId="15" borderId="42" xfId="0" applyNumberFormat="1" applyFont="1" applyFill="1" applyBorder="1" applyAlignment="1">
      <alignment horizontal="center"/>
    </xf>
    <xf numFmtId="0" fontId="17" fillId="15" borderId="1" xfId="0" applyFont="1" applyFill="1" applyBorder="1" applyAlignment="1">
      <alignment horizontal="center"/>
    </xf>
    <xf numFmtId="167" fontId="19" fillId="15" borderId="1" xfId="0" applyNumberFormat="1" applyFont="1" applyFill="1" applyBorder="1"/>
    <xf numFmtId="165" fontId="19" fillId="15" borderId="42" xfId="0" applyNumberFormat="1" applyFont="1" applyFill="1" applyBorder="1"/>
    <xf numFmtId="167" fontId="19" fillId="15" borderId="42" xfId="0" applyNumberFormat="1" applyFont="1" applyFill="1" applyBorder="1"/>
    <xf numFmtId="167" fontId="19" fillId="15" borderId="58" xfId="0" applyNumberFormat="1" applyFont="1" applyFill="1" applyBorder="1"/>
    <xf numFmtId="0" fontId="3" fillId="2" borderId="2" xfId="0" quotePrefix="1" applyFont="1" applyFill="1" applyBorder="1" applyAlignment="1">
      <alignment horizontal="center"/>
    </xf>
    <xf numFmtId="0" fontId="29" fillId="0" borderId="31" xfId="0" applyFont="1" applyBorder="1" applyAlignment="1">
      <alignment horizontal="center"/>
    </xf>
    <xf numFmtId="0" fontId="29" fillId="0" borderId="16" xfId="0" applyFont="1" applyBorder="1" applyAlignment="1">
      <alignment horizontal="center"/>
    </xf>
    <xf numFmtId="3" fontId="29" fillId="0" borderId="16" xfId="0" applyNumberFormat="1" applyFont="1" applyBorder="1" applyAlignment="1">
      <alignment horizontal="center"/>
    </xf>
    <xf numFmtId="164" fontId="29" fillId="0" borderId="16" xfId="0" applyNumberFormat="1" applyFont="1" applyBorder="1" applyAlignment="1">
      <alignment horizontal="center"/>
    </xf>
    <xf numFmtId="0" fontId="29" fillId="0" borderId="16" xfId="0" quotePrefix="1" applyFont="1" applyBorder="1" applyAlignment="1">
      <alignment horizontal="center"/>
    </xf>
    <xf numFmtId="0" fontId="29" fillId="0" borderId="0" xfId="0" quotePrefix="1" applyFont="1" applyAlignment="1">
      <alignment horizontal="center"/>
    </xf>
    <xf numFmtId="164" fontId="29" fillId="0" borderId="0" xfId="0" quotePrefix="1" applyNumberFormat="1" applyFont="1" applyAlignment="1">
      <alignment horizontal="center"/>
    </xf>
    <xf numFmtId="3" fontId="29" fillId="0" borderId="0" xfId="0" applyNumberFormat="1" applyFont="1" applyAlignment="1">
      <alignment horizontal="center"/>
    </xf>
    <xf numFmtId="3" fontId="29" fillId="0" borderId="0" xfId="0" quotePrefix="1" applyNumberFormat="1" applyFont="1" applyAlignment="1">
      <alignment horizontal="center"/>
    </xf>
    <xf numFmtId="166" fontId="30" fillId="0" borderId="0" xfId="0" applyNumberFormat="1" applyFont="1"/>
    <xf numFmtId="165" fontId="30" fillId="0" borderId="0" xfId="0" applyNumberFormat="1" applyFont="1"/>
    <xf numFmtId="166" fontId="30" fillId="0" borderId="30" xfId="0" applyNumberFormat="1" applyFont="1" applyBorder="1"/>
    <xf numFmtId="3" fontId="17" fillId="4" borderId="1" xfId="0" applyNumberFormat="1" applyFont="1" applyFill="1" applyBorder="1" applyAlignment="1">
      <alignment horizontal="center"/>
    </xf>
    <xf numFmtId="0" fontId="28" fillId="2" borderId="0" xfId="0" applyFont="1" applyFill="1"/>
    <xf numFmtId="0" fontId="0" fillId="2" borderId="0" xfId="0" applyFill="1"/>
    <xf numFmtId="0" fontId="19" fillId="2" borderId="2" xfId="0" quotePrefix="1" applyFont="1" applyFill="1" applyBorder="1" applyAlignment="1">
      <alignment horizontal="center"/>
    </xf>
    <xf numFmtId="0" fontId="1" fillId="13" borderId="54" xfId="0" applyFont="1" applyFill="1" applyBorder="1" applyAlignment="1">
      <alignment horizontal="center" wrapText="1"/>
    </xf>
    <xf numFmtId="0" fontId="3" fillId="0" borderId="43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3" fontId="3" fillId="0" borderId="17" xfId="0" applyNumberFormat="1" applyFont="1" applyBorder="1" applyAlignment="1">
      <alignment horizontal="center"/>
    </xf>
    <xf numFmtId="164" fontId="3" fillId="0" borderId="17" xfId="0" applyNumberFormat="1" applyFont="1" applyBorder="1" applyAlignment="1">
      <alignment horizontal="center"/>
    </xf>
    <xf numFmtId="0" fontId="19" fillId="0" borderId="0" xfId="0" quotePrefix="1" applyFont="1" applyAlignment="1">
      <alignment horizontal="center"/>
    </xf>
    <xf numFmtId="0" fontId="3" fillId="0" borderId="29" xfId="0" quotePrefix="1" applyFont="1" applyBorder="1" applyAlignment="1">
      <alignment horizontal="center"/>
    </xf>
    <xf numFmtId="164" fontId="3" fillId="0" borderId="29" xfId="0" quotePrefix="1" applyNumberFormat="1" applyFont="1" applyBorder="1" applyAlignment="1">
      <alignment horizontal="center"/>
    </xf>
    <xf numFmtId="3" fontId="17" fillId="4" borderId="1" xfId="0" applyNumberFormat="1" applyFont="1" applyFill="1" applyBorder="1" applyAlignment="1">
      <alignment horizontal="center" wrapText="1"/>
    </xf>
    <xf numFmtId="3" fontId="17" fillId="5" borderId="1" xfId="0" applyNumberFormat="1" applyFont="1" applyFill="1" applyBorder="1" applyAlignment="1">
      <alignment horizontal="center" wrapText="1"/>
    </xf>
    <xf numFmtId="3" fontId="17" fillId="6" borderId="1" xfId="0" applyNumberFormat="1" applyFont="1" applyFill="1" applyBorder="1" applyAlignment="1">
      <alignment horizontal="center" wrapText="1"/>
    </xf>
    <xf numFmtId="3" fontId="17" fillId="7" borderId="1" xfId="0" applyNumberFormat="1" applyFont="1" applyFill="1" applyBorder="1" applyAlignment="1">
      <alignment horizontal="center" wrapText="1"/>
    </xf>
    <xf numFmtId="3" fontId="17" fillId="11" borderId="1" xfId="0" applyNumberFormat="1" applyFont="1" applyFill="1" applyBorder="1" applyAlignment="1">
      <alignment horizontal="center" wrapText="1"/>
    </xf>
    <xf numFmtId="0" fontId="1" fillId="13" borderId="28" xfId="0" applyFont="1" applyFill="1" applyBorder="1" applyAlignment="1">
      <alignment horizontal="center" wrapText="1"/>
    </xf>
    <xf numFmtId="0" fontId="3" fillId="2" borderId="1" xfId="0" quotePrefix="1" applyFont="1" applyFill="1" applyBorder="1" applyAlignment="1">
      <alignment horizontal="center"/>
    </xf>
    <xf numFmtId="3" fontId="0" fillId="9" borderId="50" xfId="0" applyNumberFormat="1" applyFill="1" applyBorder="1" applyProtection="1">
      <protection locked="0"/>
    </xf>
    <xf numFmtId="0" fontId="0" fillId="4" borderId="0" xfId="0" applyFill="1" applyAlignment="1">
      <alignment horizontal="center" wrapText="1"/>
    </xf>
    <xf numFmtId="0" fontId="0" fillId="4" borderId="0" xfId="0" applyFill="1"/>
    <xf numFmtId="166" fontId="0" fillId="0" borderId="3" xfId="0" applyNumberFormat="1" applyBorder="1"/>
    <xf numFmtId="167" fontId="0" fillId="4" borderId="0" xfId="0" applyNumberFormat="1" applyFill="1"/>
    <xf numFmtId="168" fontId="0" fillId="4" borderId="0" xfId="0" applyNumberFormat="1" applyFill="1"/>
    <xf numFmtId="0" fontId="0" fillId="9" borderId="0" xfId="0" applyFill="1"/>
    <xf numFmtId="168" fontId="0" fillId="9" borderId="0" xfId="0" applyNumberFormat="1" applyFill="1"/>
    <xf numFmtId="0" fontId="9" fillId="0" borderId="0" xfId="0" applyFont="1" applyAlignment="1">
      <alignment horizontal="left" vertical="center" indent="5"/>
    </xf>
    <xf numFmtId="0" fontId="4" fillId="0" borderId="0" xfId="0" applyFont="1" applyAlignment="1">
      <alignment vertical="center"/>
    </xf>
    <xf numFmtId="0" fontId="4" fillId="0" borderId="9" xfId="0" applyFont="1" applyBorder="1"/>
    <xf numFmtId="0" fontId="4" fillId="0" borderId="0" xfId="0" applyFont="1" applyAlignment="1">
      <alignment horizontal="right" vertical="center"/>
    </xf>
    <xf numFmtId="0" fontId="4" fillId="0" borderId="9" xfId="0" applyFont="1" applyBorder="1" applyAlignment="1">
      <alignment horizontal="center" vertical="center"/>
    </xf>
    <xf numFmtId="0" fontId="4" fillId="0" borderId="0" xfId="0" applyFont="1"/>
    <xf numFmtId="0" fontId="16" fillId="0" borderId="0" xfId="0" applyFont="1" applyAlignment="1">
      <alignment horizontal="center"/>
    </xf>
    <xf numFmtId="0" fontId="3" fillId="0" borderId="0" xfId="0" applyFont="1"/>
    <xf numFmtId="0" fontId="15" fillId="0" borderId="0" xfId="0" applyFont="1"/>
    <xf numFmtId="0" fontId="4" fillId="13" borderId="1" xfId="0" applyFont="1" applyFill="1" applyBorder="1" applyAlignment="1">
      <alignment horizontal="center"/>
    </xf>
    <xf numFmtId="0" fontId="10" fillId="0" borderId="13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44" fontId="3" fillId="0" borderId="13" xfId="0" applyNumberFormat="1" applyFont="1" applyBorder="1" applyAlignment="1">
      <alignment horizontal="right" vertical="center" wrapText="1"/>
    </xf>
    <xf numFmtId="9" fontId="22" fillId="0" borderId="12" xfId="0" applyNumberFormat="1" applyFont="1" applyBorder="1" applyAlignment="1">
      <alignment horizontal="right" vertical="center" wrapText="1"/>
    </xf>
    <xf numFmtId="0" fontId="3" fillId="0" borderId="15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0" fontId="3" fillId="0" borderId="34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left" vertical="center" wrapText="1"/>
    </xf>
    <xf numFmtId="9" fontId="22" fillId="0" borderId="11" xfId="0" applyNumberFormat="1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/>
    </xf>
    <xf numFmtId="9" fontId="22" fillId="0" borderId="0" xfId="0" applyNumberFormat="1" applyFont="1" applyAlignment="1">
      <alignment horizontal="right" vertical="center" wrapText="1"/>
    </xf>
    <xf numFmtId="0" fontId="4" fillId="0" borderId="15" xfId="0" applyFont="1" applyBorder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44" fontId="3" fillId="0" borderId="0" xfId="0" applyNumberFormat="1" applyFont="1" applyAlignment="1">
      <alignment horizontal="right" vertical="center" wrapText="1"/>
    </xf>
    <xf numFmtId="0" fontId="3" fillId="0" borderId="0" xfId="0" applyFont="1" applyAlignment="1">
      <alignment vertical="center"/>
    </xf>
    <xf numFmtId="0" fontId="4" fillId="13" borderId="4" xfId="0" applyFont="1" applyFill="1" applyBorder="1" applyAlignment="1">
      <alignment horizontal="center"/>
    </xf>
    <xf numFmtId="0" fontId="3" fillId="0" borderId="21" xfId="0" applyFont="1" applyBorder="1" applyAlignment="1">
      <alignment horizontal="center" vertical="center" wrapText="1"/>
    </xf>
    <xf numFmtId="0" fontId="3" fillId="0" borderId="51" xfId="0" applyFont="1" applyBorder="1" applyAlignment="1">
      <alignment horizontal="center" vertical="center" wrapText="1"/>
    </xf>
    <xf numFmtId="42" fontId="4" fillId="5" borderId="42" xfId="0" applyNumberFormat="1" applyFont="1" applyFill="1" applyBorder="1" applyAlignment="1">
      <alignment horizontal="right" vertical="center" wrapText="1"/>
    </xf>
    <xf numFmtId="5" fontId="3" fillId="17" borderId="20" xfId="0" applyNumberFormat="1" applyFont="1" applyFill="1" applyBorder="1" applyAlignment="1">
      <alignment horizontal="right" vertical="center" wrapText="1"/>
    </xf>
    <xf numFmtId="5" fontId="3" fillId="17" borderId="37" xfId="0" applyNumberFormat="1" applyFont="1" applyFill="1" applyBorder="1" applyAlignment="1">
      <alignment horizontal="right" vertical="center" wrapText="1"/>
    </xf>
    <xf numFmtId="0" fontId="0" fillId="0" borderId="4" xfId="0" applyBorder="1"/>
    <xf numFmtId="37" fontId="3" fillId="17" borderId="4" xfId="0" applyNumberFormat="1" applyFont="1" applyFill="1" applyBorder="1" applyAlignment="1">
      <alignment horizontal="right" vertical="center" wrapText="1"/>
    </xf>
    <xf numFmtId="37" fontId="3" fillId="17" borderId="5" xfId="0" applyNumberFormat="1" applyFont="1" applyFill="1" applyBorder="1" applyAlignment="1">
      <alignment horizontal="right" vertical="center" wrapText="1"/>
    </xf>
    <xf numFmtId="5" fontId="3" fillId="17" borderId="4" xfId="0" applyNumberFormat="1" applyFont="1" applyFill="1" applyBorder="1" applyAlignment="1">
      <alignment horizontal="right" vertical="center" wrapText="1"/>
    </xf>
    <xf numFmtId="5" fontId="3" fillId="17" borderId="5" xfId="0" applyNumberFormat="1" applyFont="1" applyFill="1" applyBorder="1" applyAlignment="1">
      <alignment horizontal="right" vertical="center" wrapText="1"/>
    </xf>
    <xf numFmtId="3" fontId="10" fillId="0" borderId="14" xfId="0" applyNumberFormat="1" applyFont="1" applyBorder="1" applyAlignment="1">
      <alignment horizontal="right" vertical="center" wrapText="1"/>
    </xf>
    <xf numFmtId="3" fontId="10" fillId="0" borderId="53" xfId="0" applyNumberFormat="1" applyFont="1" applyBorder="1" applyAlignment="1">
      <alignment horizontal="right" vertical="center" wrapText="1"/>
    </xf>
    <xf numFmtId="3" fontId="3" fillId="14" borderId="5" xfId="0" applyNumberFormat="1" applyFont="1" applyFill="1" applyBorder="1" applyAlignment="1">
      <alignment horizontal="right" vertical="center" wrapText="1"/>
    </xf>
    <xf numFmtId="3" fontId="3" fillId="14" borderId="6" xfId="0" applyNumberFormat="1" applyFont="1" applyFill="1" applyBorder="1" applyAlignment="1">
      <alignment horizontal="right" vertical="center" wrapText="1"/>
    </xf>
    <xf numFmtId="0" fontId="0" fillId="13" borderId="4" xfId="0" applyFill="1" applyBorder="1"/>
    <xf numFmtId="3" fontId="10" fillId="5" borderId="50" xfId="0" applyNumberFormat="1" applyFont="1" applyFill="1" applyBorder="1" applyAlignment="1">
      <alignment horizontal="right" vertical="center" wrapText="1"/>
    </xf>
    <xf numFmtId="3" fontId="3" fillId="0" borderId="4" xfId="0" applyNumberFormat="1" applyFont="1" applyBorder="1" applyAlignment="1">
      <alignment vertical="center"/>
    </xf>
    <xf numFmtId="0" fontId="1" fillId="13" borderId="26" xfId="0" applyFont="1" applyFill="1" applyBorder="1" applyAlignment="1">
      <alignment horizontal="center" vertical="center"/>
    </xf>
    <xf numFmtId="0" fontId="1" fillId="13" borderId="53" xfId="0" applyFont="1" applyFill="1" applyBorder="1" applyAlignment="1">
      <alignment horizontal="center" vertical="center"/>
    </xf>
    <xf numFmtId="0" fontId="1" fillId="13" borderId="35" xfId="0" applyFont="1" applyFill="1" applyBorder="1" applyAlignment="1">
      <alignment horizontal="center" vertical="center"/>
    </xf>
    <xf numFmtId="3" fontId="3" fillId="13" borderId="4" xfId="0" applyNumberFormat="1" applyFont="1" applyFill="1" applyBorder="1" applyAlignment="1">
      <alignment horizontal="right" vertical="center" wrapText="1"/>
    </xf>
    <xf numFmtId="42" fontId="0" fillId="0" borderId="8" xfId="0" applyNumberFormat="1" applyBorder="1" applyProtection="1">
      <protection hidden="1"/>
    </xf>
    <xf numFmtId="167" fontId="0" fillId="0" borderId="8" xfId="0" applyNumberFormat="1" applyBorder="1" applyProtection="1">
      <protection hidden="1"/>
    </xf>
    <xf numFmtId="42" fontId="18" fillId="0" borderId="0" xfId="0" applyNumberFormat="1" applyFont="1" applyProtection="1">
      <protection hidden="1"/>
    </xf>
    <xf numFmtId="44" fontId="0" fillId="0" borderId="0" xfId="0" applyNumberFormat="1" applyProtection="1">
      <protection hidden="1"/>
    </xf>
    <xf numFmtId="42" fontId="0" fillId="0" borderId="0" xfId="0" applyNumberFormat="1" applyProtection="1">
      <protection hidden="1"/>
    </xf>
    <xf numFmtId="42" fontId="1" fillId="0" borderId="1" xfId="0" applyNumberFormat="1" applyFont="1" applyBorder="1" applyProtection="1">
      <protection hidden="1"/>
    </xf>
    <xf numFmtId="42" fontId="0" fillId="0" borderId="17" xfId="0" applyNumberFormat="1" applyBorder="1" applyProtection="1">
      <protection hidden="1"/>
    </xf>
    <xf numFmtId="42" fontId="1" fillId="0" borderId="27" xfId="0" applyNumberFormat="1" applyFont="1" applyBorder="1" applyProtection="1">
      <protection hidden="1"/>
    </xf>
    <xf numFmtId="3" fontId="0" fillId="3" borderId="8" xfId="0" applyNumberFormat="1" applyFill="1" applyBorder="1" applyProtection="1">
      <protection hidden="1"/>
    </xf>
    <xf numFmtId="3" fontId="0" fillId="3" borderId="1" xfId="0" applyNumberFormat="1" applyFill="1" applyBorder="1" applyProtection="1">
      <protection hidden="1"/>
    </xf>
    <xf numFmtId="0" fontId="0" fillId="3" borderId="49" xfId="0" applyFill="1" applyBorder="1" applyProtection="1">
      <protection hidden="1"/>
    </xf>
    <xf numFmtId="0" fontId="0" fillId="3" borderId="1" xfId="0" applyFill="1" applyBorder="1" applyProtection="1">
      <protection hidden="1"/>
    </xf>
    <xf numFmtId="0" fontId="0" fillId="3" borderId="27" xfId="0" applyFill="1" applyBorder="1" applyAlignment="1" applyProtection="1">
      <alignment horizontal="center"/>
      <protection hidden="1"/>
    </xf>
    <xf numFmtId="167" fontId="0" fillId="3" borderId="1" xfId="0" applyNumberFormat="1" applyFill="1" applyBorder="1" applyProtection="1">
      <protection hidden="1"/>
    </xf>
    <xf numFmtId="167" fontId="0" fillId="3" borderId="27" xfId="0" applyNumberFormat="1" applyFill="1" applyBorder="1" applyProtection="1">
      <protection hidden="1"/>
    </xf>
    <xf numFmtId="167" fontId="1" fillId="3" borderId="1" xfId="0" applyNumberFormat="1" applyFont="1" applyFill="1" applyBorder="1" applyProtection="1">
      <protection hidden="1"/>
    </xf>
    <xf numFmtId="168" fontId="0" fillId="3" borderId="1" xfId="0" applyNumberFormat="1" applyFill="1" applyBorder="1" applyProtection="1">
      <protection hidden="1"/>
    </xf>
    <xf numFmtId="168" fontId="1" fillId="3" borderId="1" xfId="0" applyNumberFormat="1" applyFont="1" applyFill="1" applyBorder="1" applyProtection="1">
      <protection hidden="1"/>
    </xf>
    <xf numFmtId="168" fontId="1" fillId="3" borderId="49" xfId="0" applyNumberFormat="1" applyFont="1" applyFill="1" applyBorder="1" applyProtection="1">
      <protection hidden="1"/>
    </xf>
    <xf numFmtId="3" fontId="3" fillId="0" borderId="36" xfId="0" applyNumberFormat="1" applyFont="1" applyBorder="1" applyProtection="1">
      <protection hidden="1"/>
    </xf>
    <xf numFmtId="3" fontId="4" fillId="0" borderId="1" xfId="0" applyNumberFormat="1" applyFont="1" applyBorder="1" applyAlignment="1" applyProtection="1">
      <alignment horizontal="right"/>
      <protection hidden="1"/>
    </xf>
    <xf numFmtId="41" fontId="10" fillId="4" borderId="22" xfId="0" applyNumberFormat="1" applyFont="1" applyFill="1" applyBorder="1" applyAlignment="1" applyProtection="1">
      <alignment horizontal="right" vertical="center" wrapText="1"/>
      <protection hidden="1"/>
    </xf>
    <xf numFmtId="3" fontId="10" fillId="0" borderId="23" xfId="0" applyNumberFormat="1" applyFont="1" applyBorder="1" applyAlignment="1" applyProtection="1">
      <alignment horizontal="right" vertical="center" wrapText="1"/>
      <protection hidden="1"/>
    </xf>
    <xf numFmtId="3" fontId="10" fillId="0" borderId="6" xfId="0" applyNumberFormat="1" applyFont="1" applyBorder="1" applyAlignment="1" applyProtection="1">
      <alignment horizontal="right" vertical="center" wrapText="1"/>
      <protection hidden="1"/>
    </xf>
    <xf numFmtId="41" fontId="3" fillId="0" borderId="4" xfId="0" applyNumberFormat="1" applyFont="1" applyBorder="1" applyProtection="1">
      <protection hidden="1"/>
    </xf>
    <xf numFmtId="3" fontId="10" fillId="4" borderId="14" xfId="0" applyNumberFormat="1" applyFont="1" applyFill="1" applyBorder="1" applyAlignment="1" applyProtection="1">
      <alignment horizontal="right" vertical="center" wrapText="1"/>
      <protection hidden="1"/>
    </xf>
    <xf numFmtId="3" fontId="10" fillId="0" borderId="14" xfId="0" applyNumberFormat="1" applyFont="1" applyBorder="1" applyAlignment="1" applyProtection="1">
      <alignment horizontal="right" vertical="center" wrapText="1"/>
      <protection hidden="1"/>
    </xf>
    <xf numFmtId="3" fontId="10" fillId="0" borderId="53" xfId="0" applyNumberFormat="1" applyFont="1" applyBorder="1" applyAlignment="1" applyProtection="1">
      <alignment horizontal="right" vertical="center" wrapText="1"/>
      <protection hidden="1"/>
    </xf>
    <xf numFmtId="3" fontId="10" fillId="6" borderId="14" xfId="0" applyNumberFormat="1" applyFont="1" applyFill="1" applyBorder="1" applyAlignment="1" applyProtection="1">
      <alignment horizontal="right" vertical="center" wrapText="1"/>
      <protection hidden="1"/>
    </xf>
    <xf numFmtId="3" fontId="10" fillId="6" borderId="12" xfId="0" applyNumberFormat="1" applyFont="1" applyFill="1" applyBorder="1" applyAlignment="1" applyProtection="1">
      <alignment horizontal="right" vertical="center" wrapText="1"/>
      <protection hidden="1"/>
    </xf>
    <xf numFmtId="3" fontId="10" fillId="0" borderId="11" xfId="0" applyNumberFormat="1" applyFont="1" applyBorder="1" applyAlignment="1" applyProtection="1">
      <alignment horizontal="right" vertical="center" wrapText="1"/>
      <protection hidden="1"/>
    </xf>
    <xf numFmtId="3" fontId="10" fillId="0" borderId="35" xfId="0" applyNumberFormat="1" applyFont="1" applyBorder="1" applyAlignment="1" applyProtection="1">
      <alignment horizontal="right" vertical="center" wrapText="1"/>
      <protection hidden="1"/>
    </xf>
    <xf numFmtId="3" fontId="3" fillId="3" borderId="25" xfId="0" applyNumberFormat="1" applyFont="1" applyFill="1" applyBorder="1" applyAlignment="1" applyProtection="1">
      <alignment horizontal="right" vertical="center" wrapText="1"/>
      <protection hidden="1"/>
    </xf>
    <xf numFmtId="3" fontId="3" fillId="3" borderId="9" xfId="0" applyNumberFormat="1" applyFont="1" applyFill="1" applyBorder="1" applyAlignment="1" applyProtection="1">
      <alignment horizontal="right" vertical="center" wrapText="1"/>
      <protection hidden="1"/>
    </xf>
    <xf numFmtId="167" fontId="14" fillId="0" borderId="14" xfId="0" applyNumberFormat="1" applyFont="1" applyBorder="1" applyAlignment="1" applyProtection="1">
      <alignment horizontal="right" vertical="center" wrapText="1"/>
      <protection hidden="1"/>
    </xf>
    <xf numFmtId="167" fontId="14" fillId="0" borderId="53" xfId="0" applyNumberFormat="1" applyFont="1" applyBorder="1" applyAlignment="1" applyProtection="1">
      <alignment horizontal="right" vertical="center" wrapText="1"/>
      <protection hidden="1"/>
    </xf>
    <xf numFmtId="167" fontId="14" fillId="0" borderId="4" xfId="0" applyNumberFormat="1" applyFont="1" applyBorder="1" applyAlignment="1" applyProtection="1">
      <alignment horizontal="right" vertical="center" wrapText="1"/>
      <protection hidden="1"/>
    </xf>
    <xf numFmtId="170" fontId="4" fillId="4" borderId="12" xfId="0" applyNumberFormat="1" applyFont="1" applyFill="1" applyBorder="1" applyAlignment="1" applyProtection="1">
      <alignment horizontal="right" vertical="center" wrapText="1"/>
      <protection hidden="1"/>
    </xf>
    <xf numFmtId="170" fontId="4" fillId="4" borderId="14" xfId="0" applyNumberFormat="1" applyFont="1" applyFill="1" applyBorder="1" applyAlignment="1" applyProtection="1">
      <alignment horizontal="right" vertical="center" wrapText="1"/>
      <protection hidden="1"/>
    </xf>
    <xf numFmtId="170" fontId="4" fillId="6" borderId="14" xfId="0" applyNumberFormat="1" applyFont="1" applyFill="1" applyBorder="1" applyAlignment="1" applyProtection="1">
      <alignment horizontal="right" vertical="center" wrapText="1"/>
      <protection hidden="1"/>
    </xf>
    <xf numFmtId="0" fontId="4" fillId="12" borderId="4" xfId="0" applyFont="1" applyFill="1" applyBorder="1" applyAlignment="1" applyProtection="1">
      <alignment horizontal="center"/>
      <protection hidden="1"/>
    </xf>
    <xf numFmtId="16" fontId="4" fillId="12" borderId="4" xfId="0" quotePrefix="1" applyNumberFormat="1" applyFont="1" applyFill="1" applyBorder="1" applyAlignment="1" applyProtection="1">
      <alignment horizontal="center"/>
      <protection hidden="1"/>
    </xf>
    <xf numFmtId="2" fontId="4" fillId="12" borderId="4" xfId="0" applyNumberFormat="1" applyFont="1" applyFill="1" applyBorder="1" applyAlignment="1" applyProtection="1">
      <alignment horizontal="center" vertical="center"/>
      <protection hidden="1"/>
    </xf>
    <xf numFmtId="3" fontId="4" fillId="12" borderId="4" xfId="0" applyNumberFormat="1" applyFont="1" applyFill="1" applyBorder="1" applyProtection="1">
      <protection hidden="1"/>
    </xf>
    <xf numFmtId="0" fontId="19" fillId="0" borderId="42" xfId="0" applyFont="1" applyBorder="1" applyAlignment="1" applyProtection="1">
      <alignment horizontal="center"/>
      <protection hidden="1"/>
    </xf>
    <xf numFmtId="0" fontId="3" fillId="0" borderId="42" xfId="0" applyFont="1" applyBorder="1" applyAlignment="1" applyProtection="1">
      <alignment horizontal="center" wrapText="1"/>
      <protection hidden="1"/>
    </xf>
    <xf numFmtId="3" fontId="19" fillId="0" borderId="42" xfId="0" applyNumberFormat="1" applyFont="1" applyBorder="1" applyAlignment="1" applyProtection="1">
      <alignment horizontal="center"/>
      <protection hidden="1"/>
    </xf>
    <xf numFmtId="164" fontId="19" fillId="0" borderId="42" xfId="0" applyNumberFormat="1" applyFont="1" applyBorder="1" applyAlignment="1" applyProtection="1">
      <alignment horizontal="center"/>
      <protection hidden="1"/>
    </xf>
    <xf numFmtId="164" fontId="19" fillId="17" borderId="54" xfId="0" quotePrefix="1" applyNumberFormat="1" applyFont="1" applyFill="1" applyBorder="1" applyAlignment="1" applyProtection="1">
      <alignment horizontal="center"/>
      <protection hidden="1"/>
    </xf>
    <xf numFmtId="0" fontId="19" fillId="0" borderId="1" xfId="0" applyFont="1" applyBorder="1" applyAlignment="1" applyProtection="1">
      <alignment horizontal="center"/>
      <protection hidden="1"/>
    </xf>
    <xf numFmtId="0" fontId="3" fillId="0" borderId="1" xfId="0" applyFont="1" applyBorder="1" applyAlignment="1" applyProtection="1">
      <alignment horizontal="center" vertical="center" wrapText="1"/>
      <protection hidden="1"/>
    </xf>
    <xf numFmtId="3" fontId="19" fillId="0" borderId="1" xfId="0" applyNumberFormat="1" applyFont="1" applyBorder="1" applyAlignment="1" applyProtection="1">
      <alignment horizontal="center"/>
      <protection hidden="1"/>
    </xf>
    <xf numFmtId="164" fontId="19" fillId="0" borderId="1" xfId="0" applyNumberFormat="1" applyFont="1" applyBorder="1" applyAlignment="1" applyProtection="1">
      <alignment horizontal="center"/>
      <protection hidden="1"/>
    </xf>
    <xf numFmtId="164" fontId="19" fillId="17" borderId="27" xfId="0" quotePrefix="1" applyNumberFormat="1" applyFont="1" applyFill="1" applyBorder="1" applyAlignment="1" applyProtection="1">
      <alignment horizontal="center"/>
      <protection hidden="1"/>
    </xf>
    <xf numFmtId="167" fontId="19" fillId="17" borderId="1" xfId="0" applyNumberFormat="1" applyFont="1" applyFill="1" applyBorder="1" applyProtection="1">
      <protection hidden="1"/>
    </xf>
    <xf numFmtId="165" fontId="19" fillId="17" borderId="1" xfId="0" applyNumberFormat="1" applyFont="1" applyFill="1" applyBorder="1" applyProtection="1">
      <protection hidden="1"/>
    </xf>
    <xf numFmtId="0" fontId="0" fillId="0" borderId="8" xfId="0" applyBorder="1" applyAlignment="1" applyProtection="1">
      <alignment horizontal="center"/>
      <protection hidden="1"/>
    </xf>
    <xf numFmtId="3" fontId="0" fillId="0" borderId="8" xfId="0" applyNumberFormat="1" applyBorder="1" applyProtection="1">
      <protection hidden="1"/>
    </xf>
    <xf numFmtId="10" fontId="0" fillId="9" borderId="8" xfId="0" applyNumberFormat="1" applyFill="1" applyBorder="1" applyAlignment="1" applyProtection="1">
      <alignment horizontal="center"/>
      <protection hidden="1"/>
    </xf>
    <xf numFmtId="0" fontId="0" fillId="16" borderId="8" xfId="0" applyFill="1" applyBorder="1" applyAlignment="1" applyProtection="1">
      <alignment horizontal="center"/>
      <protection hidden="1"/>
    </xf>
    <xf numFmtId="3" fontId="0" fillId="16" borderId="8" xfId="0" applyNumberFormat="1" applyFill="1" applyBorder="1" applyAlignment="1" applyProtection="1">
      <alignment horizontal="center"/>
      <protection hidden="1"/>
    </xf>
    <xf numFmtId="0" fontId="0" fillId="16" borderId="8" xfId="0" applyFill="1" applyBorder="1" applyProtection="1">
      <protection hidden="1"/>
    </xf>
    <xf numFmtId="42" fontId="0" fillId="16" borderId="8" xfId="0" applyNumberFormat="1" applyFill="1" applyBorder="1" applyProtection="1">
      <protection hidden="1"/>
    </xf>
    <xf numFmtId="42" fontId="8" fillId="0" borderId="8" xfId="0" applyNumberFormat="1" applyFont="1" applyBorder="1" applyProtection="1">
      <protection hidden="1"/>
    </xf>
    <xf numFmtId="0" fontId="7" fillId="0" borderId="8" xfId="0" applyFont="1" applyBorder="1" applyAlignment="1" applyProtection="1">
      <alignment horizontal="center"/>
      <protection hidden="1"/>
    </xf>
    <xf numFmtId="0" fontId="0" fillId="0" borderId="0" xfId="0" applyProtection="1">
      <protection hidden="1"/>
    </xf>
    <xf numFmtId="0" fontId="0" fillId="0" borderId="0" xfId="0" applyAlignment="1" applyProtection="1">
      <alignment horizontal="center"/>
      <protection hidden="1"/>
    </xf>
    <xf numFmtId="3" fontId="0" fillId="0" borderId="0" xfId="0" applyNumberFormat="1" applyProtection="1">
      <protection hidden="1"/>
    </xf>
    <xf numFmtId="0" fontId="0" fillId="16" borderId="0" xfId="0" applyFill="1" applyProtection="1">
      <protection hidden="1"/>
    </xf>
    <xf numFmtId="0" fontId="1" fillId="0" borderId="0" xfId="0" applyFont="1" applyAlignment="1" applyProtection="1">
      <alignment horizontal="right"/>
      <protection hidden="1"/>
    </xf>
    <xf numFmtId="0" fontId="2" fillId="13" borderId="1" xfId="0" applyFont="1" applyFill="1" applyBorder="1" applyProtection="1">
      <protection hidden="1"/>
    </xf>
    <xf numFmtId="0" fontId="0" fillId="0" borderId="3" xfId="0" applyBorder="1" applyProtection="1">
      <protection hidden="1"/>
    </xf>
    <xf numFmtId="0" fontId="1" fillId="13" borderId="42" xfId="0" applyFont="1" applyFill="1" applyBorder="1" applyAlignment="1" applyProtection="1">
      <alignment horizontal="center"/>
      <protection hidden="1"/>
    </xf>
    <xf numFmtId="0" fontId="1" fillId="13" borderId="8" xfId="0" applyFont="1" applyFill="1" applyBorder="1" applyProtection="1">
      <protection hidden="1"/>
    </xf>
    <xf numFmtId="0" fontId="0" fillId="0" borderId="30" xfId="0" applyBorder="1" applyProtection="1">
      <protection hidden="1"/>
    </xf>
    <xf numFmtId="0" fontId="1" fillId="13" borderId="1" xfId="0" applyFont="1" applyFill="1" applyBorder="1" applyAlignment="1" applyProtection="1">
      <alignment horizontal="center"/>
      <protection hidden="1"/>
    </xf>
    <xf numFmtId="0" fontId="2" fillId="0" borderId="3" xfId="0" applyFont="1" applyBorder="1" applyAlignment="1" applyProtection="1">
      <alignment horizontal="right" vertical="center"/>
      <protection hidden="1"/>
    </xf>
    <xf numFmtId="3" fontId="0" fillId="0" borderId="30" xfId="0" applyNumberFormat="1" applyBorder="1" applyProtection="1">
      <protection hidden="1"/>
    </xf>
    <xf numFmtId="0" fontId="0" fillId="0" borderId="31" xfId="0" applyBorder="1" applyProtection="1">
      <protection hidden="1"/>
    </xf>
    <xf numFmtId="0" fontId="0" fillId="0" borderId="16" xfId="0" applyBorder="1" applyProtection="1">
      <protection hidden="1"/>
    </xf>
    <xf numFmtId="0" fontId="0" fillId="0" borderId="32" xfId="0" applyBorder="1" applyProtection="1">
      <protection hidden="1"/>
    </xf>
    <xf numFmtId="0" fontId="33" fillId="0" borderId="9" xfId="0" applyFont="1" applyBorder="1"/>
    <xf numFmtId="0" fontId="2" fillId="13" borderId="1" xfId="0" applyFont="1" applyFill="1" applyBorder="1" applyAlignment="1" applyProtection="1">
      <alignment horizontal="center" wrapText="1"/>
      <protection hidden="1"/>
    </xf>
    <xf numFmtId="0" fontId="2" fillId="3" borderId="19" xfId="0" applyFont="1" applyFill="1" applyBorder="1" applyProtection="1">
      <protection hidden="1"/>
    </xf>
    <xf numFmtId="0" fontId="2" fillId="3" borderId="37" xfId="0" applyFont="1" applyFill="1" applyBorder="1" applyProtection="1">
      <protection hidden="1"/>
    </xf>
    <xf numFmtId="0" fontId="0" fillId="3" borderId="37" xfId="0" applyFill="1" applyBorder="1" applyProtection="1">
      <protection hidden="1"/>
    </xf>
    <xf numFmtId="0" fontId="0" fillId="3" borderId="37" xfId="0" applyFill="1" applyBorder="1" applyAlignment="1" applyProtection="1">
      <alignment horizontal="center"/>
      <protection hidden="1"/>
    </xf>
    <xf numFmtId="0" fontId="0" fillId="3" borderId="37" xfId="0" applyFill="1" applyBorder="1"/>
    <xf numFmtId="0" fontId="0" fillId="3" borderId="20" xfId="0" applyFill="1" applyBorder="1"/>
    <xf numFmtId="0" fontId="0" fillId="3" borderId="39" xfId="0" applyFill="1" applyBorder="1" applyAlignment="1" applyProtection="1">
      <alignment horizontal="left"/>
      <protection hidden="1"/>
    </xf>
    <xf numFmtId="0" fontId="0" fillId="3" borderId="0" xfId="0" applyFill="1" applyAlignment="1" applyProtection="1">
      <alignment horizontal="left"/>
      <protection hidden="1"/>
    </xf>
    <xf numFmtId="0" fontId="0" fillId="3" borderId="0" xfId="0" applyFill="1" applyProtection="1">
      <protection hidden="1"/>
    </xf>
    <xf numFmtId="0" fontId="0" fillId="3" borderId="0" xfId="0" applyFill="1" applyAlignment="1" applyProtection="1">
      <alignment horizontal="center"/>
      <protection hidden="1"/>
    </xf>
    <xf numFmtId="0" fontId="0" fillId="3" borderId="0" xfId="0" applyFill="1"/>
    <xf numFmtId="0" fontId="0" fillId="3" borderId="40" xfId="0" applyFill="1" applyBorder="1"/>
    <xf numFmtId="44" fontId="0" fillId="3" borderId="0" xfId="0" applyNumberFormat="1" applyFill="1" applyProtection="1">
      <protection hidden="1"/>
    </xf>
    <xf numFmtId="42" fontId="0" fillId="3" borderId="0" xfId="0" applyNumberFormat="1" applyFill="1"/>
    <xf numFmtId="0" fontId="0" fillId="3" borderId="39" xfId="0" applyFill="1" applyBorder="1" applyProtection="1">
      <protection hidden="1"/>
    </xf>
    <xf numFmtId="0" fontId="0" fillId="3" borderId="0" xfId="0" applyFill="1" applyAlignment="1">
      <alignment horizontal="center" wrapText="1"/>
    </xf>
    <xf numFmtId="0" fontId="0" fillId="3" borderId="9" xfId="0" applyFill="1" applyBorder="1"/>
    <xf numFmtId="0" fontId="0" fillId="3" borderId="9" xfId="0" applyFill="1" applyBorder="1" applyAlignment="1">
      <alignment horizontal="left"/>
    </xf>
    <xf numFmtId="0" fontId="0" fillId="3" borderId="33" xfId="0" applyFill="1" applyBorder="1"/>
    <xf numFmtId="0" fontId="3" fillId="3" borderId="4" xfId="0" applyFont="1" applyFill="1" applyBorder="1" applyAlignment="1">
      <alignment horizontal="center" wrapText="1"/>
    </xf>
    <xf numFmtId="171" fontId="19" fillId="9" borderId="7" xfId="0" quotePrefix="1" applyNumberFormat="1" applyFont="1" applyFill="1" applyBorder="1" applyAlignment="1" applyProtection="1">
      <alignment horizontal="center"/>
      <protection locked="0"/>
    </xf>
    <xf numFmtId="0" fontId="19" fillId="0" borderId="55" xfId="0" applyFont="1" applyBorder="1" applyAlignment="1" applyProtection="1">
      <alignment horizontal="center"/>
      <protection hidden="1"/>
    </xf>
    <xf numFmtId="0" fontId="3" fillId="0" borderId="1" xfId="0" applyFont="1" applyBorder="1" applyAlignment="1" applyProtection="1">
      <alignment horizontal="center" wrapText="1"/>
      <protection hidden="1"/>
    </xf>
    <xf numFmtId="164" fontId="19" fillId="17" borderId="55" xfId="0" quotePrefix="1" applyNumberFormat="1" applyFont="1" applyFill="1" applyBorder="1" applyAlignment="1" applyProtection="1">
      <alignment horizontal="center"/>
      <protection hidden="1"/>
    </xf>
    <xf numFmtId="3" fontId="3" fillId="0" borderId="0" xfId="0" applyNumberFormat="1" applyFont="1" applyAlignment="1">
      <alignment horizontal="center"/>
    </xf>
    <xf numFmtId="3" fontId="3" fillId="0" borderId="0" xfId="0" quotePrefix="1" applyNumberFormat="1" applyFont="1" applyAlignment="1">
      <alignment horizontal="center"/>
    </xf>
    <xf numFmtId="166" fontId="0" fillId="0" borderId="0" xfId="0" applyNumberFormat="1"/>
    <xf numFmtId="165" fontId="0" fillId="0" borderId="0" xfId="0" applyNumberFormat="1"/>
    <xf numFmtId="166" fontId="0" fillId="0" borderId="30" xfId="0" applyNumberFormat="1" applyBorder="1"/>
    <xf numFmtId="3" fontId="3" fillId="0" borderId="16" xfId="0" applyNumberFormat="1" applyFont="1" applyBorder="1" applyAlignment="1">
      <alignment horizontal="center"/>
    </xf>
    <xf numFmtId="0" fontId="3" fillId="0" borderId="16" xfId="0" quotePrefix="1" applyFont="1" applyBorder="1" applyAlignment="1">
      <alignment horizontal="center"/>
    </xf>
    <xf numFmtId="167" fontId="20" fillId="9" borderId="60" xfId="0" applyNumberFormat="1" applyFont="1" applyFill="1" applyBorder="1" applyProtection="1">
      <protection locked="0"/>
    </xf>
    <xf numFmtId="16" fontId="19" fillId="0" borderId="1" xfId="0" quotePrefix="1" applyNumberFormat="1" applyFont="1" applyBorder="1" applyAlignment="1" applyProtection="1">
      <alignment horizontal="center"/>
      <protection hidden="1"/>
    </xf>
    <xf numFmtId="167" fontId="19" fillId="0" borderId="1" xfId="0" applyNumberFormat="1" applyFont="1" applyBorder="1" applyProtection="1">
      <protection hidden="1"/>
    </xf>
    <xf numFmtId="167" fontId="19" fillId="0" borderId="59" xfId="0" applyNumberFormat="1" applyFont="1" applyBorder="1" applyProtection="1">
      <protection hidden="1"/>
    </xf>
    <xf numFmtId="16" fontId="34" fillId="0" borderId="1" xfId="0" quotePrefix="1" applyNumberFormat="1" applyFont="1" applyBorder="1" applyAlignment="1" applyProtection="1">
      <alignment horizontal="center"/>
      <protection hidden="1"/>
    </xf>
    <xf numFmtId="165" fontId="19" fillId="0" borderId="1" xfId="0" applyNumberFormat="1" applyFont="1" applyBorder="1" applyProtection="1">
      <protection hidden="1"/>
    </xf>
    <xf numFmtId="16" fontId="34" fillId="0" borderId="43" xfId="0" quotePrefix="1" applyNumberFormat="1" applyFont="1" applyBorder="1" applyAlignment="1" applyProtection="1">
      <alignment horizontal="center"/>
      <protection hidden="1"/>
    </xf>
    <xf numFmtId="3" fontId="19" fillId="0" borderId="1" xfId="0" quotePrefix="1" applyNumberFormat="1" applyFont="1" applyBorder="1" applyAlignment="1" applyProtection="1">
      <alignment horizontal="center"/>
      <protection hidden="1"/>
    </xf>
    <xf numFmtId="3" fontId="4" fillId="12" borderId="4" xfId="0" applyNumberFormat="1" applyFont="1" applyFill="1" applyBorder="1" applyAlignment="1" applyProtection="1">
      <alignment horizontal="right"/>
      <protection hidden="1"/>
    </xf>
    <xf numFmtId="4" fontId="0" fillId="0" borderId="1" xfId="0" applyNumberFormat="1" applyBorder="1"/>
    <xf numFmtId="10" fontId="0" fillId="0" borderId="1" xfId="0" applyNumberFormat="1" applyBorder="1"/>
    <xf numFmtId="0" fontId="0" fillId="0" borderId="8" xfId="0" applyBorder="1"/>
    <xf numFmtId="3" fontId="0" fillId="0" borderId="8" xfId="0" applyNumberFormat="1" applyBorder="1"/>
    <xf numFmtId="42" fontId="0" fillId="0" borderId="8" xfId="0" applyNumberFormat="1" applyBorder="1"/>
    <xf numFmtId="0" fontId="17" fillId="13" borderId="43" xfId="0" applyFont="1" applyFill="1" applyBorder="1" applyAlignment="1" applyProtection="1">
      <alignment horizontal="left" wrapText="1"/>
      <protection hidden="1"/>
    </xf>
    <xf numFmtId="0" fontId="17" fillId="13" borderId="27" xfId="0" applyFont="1" applyFill="1" applyBorder="1" applyAlignment="1" applyProtection="1">
      <alignment horizontal="left" wrapText="1"/>
      <protection hidden="1"/>
    </xf>
    <xf numFmtId="0" fontId="32" fillId="0" borderId="43" xfId="0" applyFont="1" applyBorder="1" applyAlignment="1" applyProtection="1">
      <alignment horizontal="center"/>
      <protection hidden="1"/>
    </xf>
    <xf numFmtId="0" fontId="32" fillId="0" borderId="17" xfId="0" applyFont="1" applyBorder="1" applyAlignment="1" applyProtection="1">
      <alignment horizontal="center"/>
      <protection hidden="1"/>
    </xf>
    <xf numFmtId="0" fontId="32" fillId="0" borderId="27" xfId="0" applyFont="1" applyBorder="1" applyAlignment="1" applyProtection="1">
      <alignment horizontal="center"/>
      <protection hidden="1"/>
    </xf>
    <xf numFmtId="0" fontId="1" fillId="13" borderId="43" xfId="0" applyFont="1" applyFill="1" applyBorder="1" applyAlignment="1" applyProtection="1">
      <alignment horizontal="center"/>
      <protection hidden="1"/>
    </xf>
    <xf numFmtId="0" fontId="1" fillId="13" borderId="17" xfId="0" applyFont="1" applyFill="1" applyBorder="1" applyAlignment="1" applyProtection="1">
      <alignment horizontal="center"/>
      <protection hidden="1"/>
    </xf>
    <xf numFmtId="0" fontId="1" fillId="13" borderId="27" xfId="0" applyFont="1" applyFill="1" applyBorder="1" applyAlignment="1" applyProtection="1">
      <alignment horizontal="center"/>
      <protection hidden="1"/>
    </xf>
    <xf numFmtId="0" fontId="2" fillId="0" borderId="3" xfId="0" applyFont="1" applyBorder="1" applyAlignment="1" applyProtection="1">
      <alignment horizontal="right" vertical="center"/>
      <protection hidden="1"/>
    </xf>
    <xf numFmtId="0" fontId="2" fillId="0" borderId="28" xfId="0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2" fillId="0" borderId="54" xfId="0" applyFont="1" applyBorder="1" applyAlignment="1">
      <alignment horizontal="center"/>
    </xf>
    <xf numFmtId="0" fontId="31" fillId="0" borderId="1" xfId="0" applyFont="1" applyBorder="1" applyAlignment="1">
      <alignment horizontal="center" vertical="center"/>
    </xf>
    <xf numFmtId="0" fontId="0" fillId="2" borderId="17" xfId="0" applyFill="1" applyBorder="1" applyAlignment="1">
      <alignment horizontal="center"/>
    </xf>
    <xf numFmtId="0" fontId="2" fillId="11" borderId="17" xfId="0" applyFont="1" applyFill="1" applyBorder="1" applyAlignment="1">
      <alignment horizontal="center"/>
    </xf>
    <xf numFmtId="0" fontId="2" fillId="11" borderId="27" xfId="0" applyFont="1" applyFill="1" applyBorder="1" applyAlignment="1">
      <alignment horizontal="center"/>
    </xf>
    <xf numFmtId="0" fontId="26" fillId="0" borderId="5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39" xfId="0" applyFont="1" applyBorder="1" applyAlignment="1">
      <alignment horizontal="center"/>
    </xf>
    <xf numFmtId="0" fontId="5" fillId="0" borderId="31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2" fillId="11" borderId="57" xfId="0" applyFont="1" applyFill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40" xfId="0" applyFont="1" applyBorder="1" applyAlignment="1">
      <alignment horizontal="center"/>
    </xf>
    <xf numFmtId="0" fontId="31" fillId="0" borderId="8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56" xfId="0" applyFont="1" applyBorder="1" applyAlignment="1">
      <alignment horizontal="center"/>
    </xf>
    <xf numFmtId="0" fontId="3" fillId="13" borderId="5" xfId="0" applyFont="1" applyFill="1" applyBorder="1" applyAlignment="1">
      <alignment horizontal="left" vertical="center" wrapText="1"/>
    </xf>
    <xf numFmtId="0" fontId="3" fillId="13" borderId="7" xfId="0" applyFont="1" applyFill="1" applyBorder="1" applyAlignment="1">
      <alignment horizontal="left" vertical="center" wrapText="1"/>
    </xf>
    <xf numFmtId="0" fontId="12" fillId="0" borderId="13" xfId="0" applyFont="1" applyBorder="1" applyAlignment="1">
      <alignment horizontal="right" vertical="center" wrapText="1" indent="2"/>
    </xf>
    <xf numFmtId="0" fontId="12" fillId="0" borderId="0" xfId="0" applyFont="1" applyAlignment="1">
      <alignment horizontal="right" vertical="center" wrapText="1" indent="2"/>
    </xf>
    <xf numFmtId="0" fontId="4" fillId="0" borderId="5" xfId="0" applyFont="1" applyBorder="1" applyAlignment="1">
      <alignment horizontal="right" vertical="center" wrapText="1"/>
    </xf>
    <xf numFmtId="0" fontId="4" fillId="0" borderId="7" xfId="0" applyFont="1" applyBorder="1" applyAlignment="1">
      <alignment horizontal="right" vertical="center" wrapText="1"/>
    </xf>
    <xf numFmtId="0" fontId="12" fillId="0" borderId="13" xfId="0" applyFont="1" applyBorder="1" applyAlignment="1">
      <alignment horizontal="left" vertical="center" wrapText="1" indent="2"/>
    </xf>
    <xf numFmtId="0" fontId="12" fillId="0" borderId="0" xfId="0" applyFont="1" applyAlignment="1">
      <alignment horizontal="left" vertical="center" wrapText="1" indent="2"/>
    </xf>
    <xf numFmtId="0" fontId="12" fillId="0" borderId="24" xfId="0" applyFont="1" applyBorder="1" applyAlignment="1">
      <alignment horizontal="left" vertical="center" wrapText="1" indent="2"/>
    </xf>
    <xf numFmtId="0" fontId="3" fillId="12" borderId="5" xfId="0" applyFont="1" applyFill="1" applyBorder="1" applyAlignment="1">
      <alignment horizontal="right" vertical="center"/>
    </xf>
    <xf numFmtId="0" fontId="3" fillId="12" borderId="7" xfId="0" applyFont="1" applyFill="1" applyBorder="1" applyAlignment="1">
      <alignment horizontal="right" vertical="center"/>
    </xf>
    <xf numFmtId="0" fontId="0" fillId="12" borderId="5" xfId="0" applyFill="1" applyBorder="1" applyAlignment="1">
      <alignment horizontal="left"/>
    </xf>
    <xf numFmtId="0" fontId="0" fillId="12" borderId="6" xfId="0" applyFill="1" applyBorder="1" applyAlignment="1">
      <alignment horizontal="left"/>
    </xf>
    <xf numFmtId="0" fontId="0" fillId="12" borderId="7" xfId="0" applyFill="1" applyBorder="1" applyAlignment="1">
      <alignment horizontal="left"/>
    </xf>
    <xf numFmtId="0" fontId="10" fillId="0" borderId="0" xfId="0" applyFont="1" applyAlignment="1">
      <alignment horizontal="left" vertical="center" wrapText="1"/>
    </xf>
    <xf numFmtId="0" fontId="3" fillId="0" borderId="19" xfId="0" applyFont="1" applyBorder="1" applyAlignment="1">
      <alignment horizontal="left" vertical="center" wrapText="1"/>
    </xf>
    <xf numFmtId="0" fontId="3" fillId="0" borderId="20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right" vertical="center" wrapText="1"/>
    </xf>
    <xf numFmtId="0" fontId="5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0" fillId="12" borderId="4" xfId="0" applyFill="1" applyBorder="1" applyAlignment="1">
      <alignment horizontal="right"/>
    </xf>
    <xf numFmtId="0" fontId="4" fillId="0" borderId="9" xfId="0" applyFont="1" applyBorder="1" applyAlignment="1">
      <alignment horizontal="center" vertical="center"/>
    </xf>
    <xf numFmtId="0" fontId="0" fillId="7" borderId="41" xfId="0" applyFill="1" applyBorder="1" applyAlignment="1">
      <alignment horizontal="center"/>
    </xf>
    <xf numFmtId="0" fontId="0" fillId="7" borderId="9" xfId="0" applyFill="1" applyBorder="1" applyAlignment="1">
      <alignment horizontal="center"/>
    </xf>
    <xf numFmtId="0" fontId="0" fillId="7" borderId="33" xfId="0" applyFill="1" applyBorder="1" applyAlignment="1">
      <alignment horizontal="center"/>
    </xf>
    <xf numFmtId="0" fontId="2" fillId="7" borderId="19" xfId="0" applyFont="1" applyFill="1" applyBorder="1" applyAlignment="1">
      <alignment horizontal="center" vertical="center"/>
    </xf>
    <xf numFmtId="0" fontId="4" fillId="7" borderId="37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left" vertical="center"/>
    </xf>
    <xf numFmtId="0" fontId="3" fillId="0" borderId="38" xfId="0" applyFont="1" applyBorder="1" applyAlignment="1">
      <alignment horizontal="left" vertical="center"/>
    </xf>
    <xf numFmtId="0" fontId="4" fillId="0" borderId="0" xfId="0" applyFont="1" applyAlignment="1">
      <alignment horizontal="left"/>
    </xf>
    <xf numFmtId="0" fontId="0" fillId="0" borderId="37" xfId="0" applyBorder="1" applyAlignment="1">
      <alignment horizontal="center"/>
    </xf>
    <xf numFmtId="0" fontId="0" fillId="0" borderId="20" xfId="0" applyBorder="1" applyAlignment="1">
      <alignment horizontal="center"/>
    </xf>
    <xf numFmtId="0" fontId="2" fillId="7" borderId="37" xfId="0" applyFont="1" applyFill="1" applyBorder="1" applyAlignment="1">
      <alignment horizontal="center"/>
    </xf>
    <xf numFmtId="0" fontId="4" fillId="7" borderId="37" xfId="0" applyFont="1" applyFill="1" applyBorder="1" applyAlignment="1">
      <alignment horizontal="center"/>
    </xf>
    <xf numFmtId="0" fontId="4" fillId="7" borderId="20" xfId="0" applyFont="1" applyFill="1" applyBorder="1" applyAlignment="1">
      <alignment horizontal="center"/>
    </xf>
    <xf numFmtId="0" fontId="25" fillId="3" borderId="10" xfId="0" applyFont="1" applyFill="1" applyBorder="1" applyAlignment="1">
      <alignment horizontal="center" vertical="center" wrapText="1"/>
    </xf>
    <xf numFmtId="0" fontId="25" fillId="3" borderId="11" xfId="0" applyFont="1" applyFill="1" applyBorder="1" applyAlignment="1">
      <alignment horizontal="center" vertical="center" wrapText="1"/>
    </xf>
    <xf numFmtId="0" fontId="4" fillId="13" borderId="52" xfId="0" applyFont="1" applyFill="1" applyBorder="1" applyAlignment="1">
      <alignment horizontal="center" wrapText="1"/>
    </xf>
    <xf numFmtId="0" fontId="4" fillId="13" borderId="50" xfId="0" applyFont="1" applyFill="1" applyBorder="1" applyAlignment="1">
      <alignment horizontal="center" wrapText="1"/>
    </xf>
    <xf numFmtId="0" fontId="2" fillId="13" borderId="19" xfId="0" applyFont="1" applyFill="1" applyBorder="1" applyAlignment="1">
      <alignment horizontal="center"/>
    </xf>
    <xf numFmtId="0" fontId="2" fillId="13" borderId="37" xfId="0" applyFont="1" applyFill="1" applyBorder="1" applyAlignment="1">
      <alignment horizontal="center"/>
    </xf>
    <xf numFmtId="0" fontId="3" fillId="0" borderId="50" xfId="0" applyFont="1" applyBorder="1" applyAlignment="1">
      <alignment horizontal="righ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12" borderId="4" xfId="0" applyFont="1" applyFill="1" applyBorder="1" applyAlignment="1">
      <alignment horizontal="right" vertical="center"/>
    </xf>
    <xf numFmtId="0" fontId="7" fillId="0" borderId="4" xfId="0" applyFont="1" applyBorder="1" applyAlignment="1">
      <alignment horizontal="left"/>
    </xf>
    <xf numFmtId="0" fontId="24" fillId="0" borderId="4" xfId="0" applyFont="1" applyBorder="1" applyAlignment="1">
      <alignment horizontal="left"/>
    </xf>
    <xf numFmtId="0" fontId="0" fillId="0" borderId="41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33" xfId="0" applyBorder="1" applyAlignment="1">
      <alignment horizontal="left"/>
    </xf>
    <xf numFmtId="0" fontId="0" fillId="6" borderId="6" xfId="0" applyFill="1" applyBorder="1" applyAlignment="1">
      <alignment horizontal="left"/>
    </xf>
    <xf numFmtId="0" fontId="0" fillId="6" borderId="33" xfId="0" applyFill="1" applyBorder="1" applyAlignment="1">
      <alignment horizontal="left"/>
    </xf>
    <xf numFmtId="42" fontId="1" fillId="6" borderId="5" xfId="0" applyNumberFormat="1" applyFont="1" applyFill="1" applyBorder="1" applyAlignment="1">
      <alignment horizontal="left"/>
    </xf>
    <xf numFmtId="42" fontId="1" fillId="6" borderId="7" xfId="0" applyNumberFormat="1" applyFont="1" applyFill="1" applyBorder="1" applyAlignment="1">
      <alignment horizontal="left"/>
    </xf>
    <xf numFmtId="42" fontId="1" fillId="0" borderId="0" xfId="0" applyNumberFormat="1" applyFont="1" applyAlignment="1" applyProtection="1">
      <alignment horizontal="right"/>
      <protection hidden="1"/>
    </xf>
    <xf numFmtId="0" fontId="0" fillId="5" borderId="41" xfId="0" applyFill="1" applyBorder="1" applyAlignment="1" applyProtection="1">
      <alignment horizontal="left"/>
      <protection hidden="1"/>
    </xf>
    <xf numFmtId="0" fontId="0" fillId="5" borderId="33" xfId="0" applyFill="1" applyBorder="1" applyAlignment="1" applyProtection="1">
      <alignment horizontal="left"/>
      <protection hidden="1"/>
    </xf>
    <xf numFmtId="0" fontId="0" fillId="0" borderId="0" xfId="0" applyAlignment="1">
      <alignment horizontal="left"/>
    </xf>
    <xf numFmtId="169" fontId="0" fillId="3" borderId="0" xfId="0" applyNumberFormat="1" applyFill="1" applyAlignment="1" applyProtection="1">
      <alignment horizontal="right"/>
      <protection hidden="1"/>
    </xf>
    <xf numFmtId="169" fontId="0" fillId="3" borderId="9" xfId="0" applyNumberFormat="1" applyFill="1" applyBorder="1" applyAlignment="1" applyProtection="1">
      <alignment horizontal="right"/>
      <protection hidden="1"/>
    </xf>
    <xf numFmtId="0" fontId="1" fillId="3" borderId="0" xfId="0" applyFont="1" applyFill="1" applyAlignment="1" applyProtection="1">
      <alignment horizontal="right"/>
      <protection hidden="1"/>
    </xf>
    <xf numFmtId="0" fontId="0" fillId="3" borderId="39" xfId="0" applyFill="1" applyBorder="1" applyAlignment="1" applyProtection="1">
      <alignment horizontal="left"/>
      <protection hidden="1"/>
    </xf>
    <xf numFmtId="0" fontId="0" fillId="3" borderId="0" xfId="0" applyFill="1" applyAlignment="1" applyProtection="1">
      <alignment horizontal="left"/>
      <protection hidden="1"/>
    </xf>
    <xf numFmtId="0" fontId="0" fillId="3" borderId="39" xfId="0" applyFill="1" applyBorder="1" applyAlignment="1" applyProtection="1">
      <alignment wrapText="1"/>
      <protection hidden="1"/>
    </xf>
    <xf numFmtId="0" fontId="0" fillId="3" borderId="0" xfId="0" applyFill="1" applyAlignment="1" applyProtection="1">
      <alignment wrapText="1"/>
      <protection hidden="1"/>
    </xf>
    <xf numFmtId="0" fontId="0" fillId="3" borderId="41" xfId="0" applyFill="1" applyBorder="1" applyAlignment="1" applyProtection="1">
      <alignment horizontal="left" wrapText="1"/>
      <protection hidden="1"/>
    </xf>
    <xf numFmtId="0" fontId="0" fillId="3" borderId="9" xfId="0" applyFill="1" applyBorder="1" applyAlignment="1" applyProtection="1">
      <alignment horizontal="left" wrapText="1"/>
      <protection hidden="1"/>
    </xf>
    <xf numFmtId="0" fontId="6" fillId="0" borderId="41" xfId="0" applyFont="1" applyBorder="1" applyAlignment="1" applyProtection="1">
      <alignment horizontal="left"/>
      <protection hidden="1"/>
    </xf>
    <xf numFmtId="0" fontId="6" fillId="0" borderId="9" xfId="0" applyFont="1" applyBorder="1" applyAlignment="1" applyProtection="1">
      <alignment horizontal="left"/>
      <protection hidden="1"/>
    </xf>
    <xf numFmtId="0" fontId="0" fillId="3" borderId="5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5" fillId="12" borderId="5" xfId="0" applyFont="1" applyFill="1" applyBorder="1" applyAlignment="1">
      <alignment horizontal="center" vertical="center"/>
    </xf>
    <xf numFmtId="0" fontId="5" fillId="12" borderId="6" xfId="0" applyFont="1" applyFill="1" applyBorder="1" applyAlignment="1">
      <alignment horizontal="center" vertical="center"/>
    </xf>
    <xf numFmtId="0" fontId="5" fillId="12" borderId="7" xfId="0" applyFont="1" applyFill="1" applyBorder="1" applyAlignment="1">
      <alignment horizontal="center" vertical="center"/>
    </xf>
    <xf numFmtId="0" fontId="6" fillId="0" borderId="9" xfId="0" applyFont="1" applyBorder="1" applyAlignment="1">
      <alignment horizontal="center"/>
    </xf>
    <xf numFmtId="0" fontId="6" fillId="0" borderId="33" xfId="0" applyFont="1" applyBorder="1" applyAlignment="1">
      <alignment horizontal="center"/>
    </xf>
    <xf numFmtId="0" fontId="4" fillId="0" borderId="1" xfId="0" applyFont="1" applyBorder="1" applyAlignment="1">
      <alignment horizontal="left" wrapText="1"/>
    </xf>
    <xf numFmtId="0" fontId="4" fillId="5" borderId="0" xfId="0" applyFont="1" applyFill="1" applyAlignment="1">
      <alignment horizontal="center" wrapText="1"/>
    </xf>
    <xf numFmtId="0" fontId="1" fillId="13" borderId="1" xfId="0" applyFont="1" applyFill="1" applyBorder="1" applyAlignment="1">
      <alignment horizontal="left" wrapText="1"/>
    </xf>
    <xf numFmtId="0" fontId="35" fillId="0" borderId="29" xfId="0" applyFont="1" applyBorder="1" applyAlignment="1">
      <alignment horizontal="left"/>
    </xf>
    <xf numFmtId="0" fontId="36" fillId="0" borderId="29" xfId="0" applyFont="1" applyBorder="1" applyAlignment="1">
      <alignment horizontal="left"/>
    </xf>
    <xf numFmtId="0" fontId="37" fillId="0" borderId="29" xfId="0" applyFont="1" applyBorder="1" applyAlignment="1">
      <alignment horizontal="left"/>
    </xf>
    <xf numFmtId="0" fontId="35" fillId="0" borderId="0" xfId="0" applyFont="1" applyAlignment="1">
      <alignment horizontal="left"/>
    </xf>
    <xf numFmtId="3" fontId="3" fillId="13" borderId="4" xfId="0" applyNumberFormat="1" applyFont="1" applyFill="1" applyBorder="1" applyAlignment="1" applyProtection="1">
      <alignment horizontal="right" vertical="center" wrapText="1"/>
    </xf>
    <xf numFmtId="0" fontId="0" fillId="6" borderId="19" xfId="0" applyFill="1" applyBorder="1" applyAlignment="1">
      <alignment horizontal="left"/>
    </xf>
    <xf numFmtId="0" fontId="0" fillId="6" borderId="37" xfId="0" applyFill="1" applyBorder="1" applyAlignment="1">
      <alignment horizontal="left"/>
    </xf>
    <xf numFmtId="0" fontId="35" fillId="0" borderId="0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6699"/>
      <color rgb="FFFA5D4C"/>
      <color rgb="FFF82A14"/>
      <color rgb="FFFB5C4B"/>
      <color rgb="FFFB4633"/>
      <color rgb="FFC2C2C2"/>
      <color rgb="FFFAB0A8"/>
      <color rgb="FFFF8F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9E2696-268B-47CC-BD97-9FDBF549D436}">
  <sheetPr codeName="Sheet1">
    <pageSetUpPr fitToPage="1"/>
  </sheetPr>
  <dimension ref="A1:J43"/>
  <sheetViews>
    <sheetView topLeftCell="A8" zoomScale="85" zoomScaleNormal="85" workbookViewId="0">
      <selection activeCell="B30" sqref="B30"/>
    </sheetView>
  </sheetViews>
  <sheetFormatPr defaultRowHeight="15"/>
  <cols>
    <col min="1" max="1" width="9.42578125" customWidth="1"/>
    <col min="2" max="2" width="61" customWidth="1"/>
    <col min="3" max="3" width="13" customWidth="1"/>
    <col min="4" max="4" width="14" customWidth="1"/>
    <col min="5" max="5" width="13.28515625" customWidth="1"/>
    <col min="6" max="6" width="14.140625" hidden="1" customWidth="1"/>
    <col min="7" max="7" width="19.28515625" hidden="1" customWidth="1"/>
    <col min="8" max="8" width="9.140625" hidden="1" customWidth="1"/>
    <col min="9" max="9" width="3.7109375" hidden="1" customWidth="1"/>
    <col min="10" max="10" width="22.28515625" hidden="1" customWidth="1"/>
    <col min="11" max="11" width="13.85546875" customWidth="1"/>
    <col min="12" max="49" width="13.7109375" customWidth="1"/>
    <col min="50" max="50" width="9.140625" customWidth="1"/>
  </cols>
  <sheetData>
    <row r="1" spans="1:10" ht="42" customHeight="1">
      <c r="A1" s="296" t="s">
        <v>202</v>
      </c>
      <c r="B1" s="297"/>
      <c r="C1" s="250" t="s">
        <v>193</v>
      </c>
      <c r="D1" s="18" t="s">
        <v>28</v>
      </c>
      <c r="E1" s="238"/>
      <c r="F1" s="41"/>
      <c r="G1" s="114" t="s">
        <v>98</v>
      </c>
    </row>
    <row r="2" spans="1:10">
      <c r="A2" s="298" t="s">
        <v>182</v>
      </c>
      <c r="B2" s="299"/>
      <c r="C2" s="299"/>
      <c r="D2" s="299"/>
      <c r="E2" s="300"/>
      <c r="F2" s="31"/>
      <c r="G2" s="115"/>
      <c r="J2" t="s">
        <v>28</v>
      </c>
    </row>
    <row r="3" spans="1:10" ht="15.75" thickBot="1">
      <c r="A3" s="239"/>
      <c r="B3" s="233" t="s">
        <v>107</v>
      </c>
      <c r="C3" s="233"/>
      <c r="D3" s="233"/>
      <c r="E3" s="113">
        <v>54784</v>
      </c>
      <c r="F3" s="31"/>
      <c r="G3" s="115"/>
      <c r="J3" t="s">
        <v>183</v>
      </c>
    </row>
    <row r="4" spans="1:10" ht="15.75" thickBot="1">
      <c r="A4" s="239"/>
      <c r="B4" s="233" t="s">
        <v>108</v>
      </c>
      <c r="C4" s="233"/>
      <c r="D4" s="233"/>
      <c r="E4" s="10">
        <v>42892</v>
      </c>
      <c r="F4" s="31"/>
      <c r="G4" s="115"/>
      <c r="H4" t="s">
        <v>38</v>
      </c>
      <c r="J4" t="s">
        <v>184</v>
      </c>
    </row>
    <row r="5" spans="1:10" ht="15.75" thickBot="1">
      <c r="A5" s="239"/>
      <c r="B5" s="233" t="s">
        <v>138</v>
      </c>
      <c r="C5" s="233"/>
      <c r="D5" s="233"/>
      <c r="E5" s="11">
        <v>3.5</v>
      </c>
      <c r="F5" s="31"/>
      <c r="G5" s="115"/>
      <c r="J5" t="s">
        <v>185</v>
      </c>
    </row>
    <row r="6" spans="1:10">
      <c r="A6" s="239"/>
      <c r="B6" s="233" t="s">
        <v>84</v>
      </c>
      <c r="C6" s="233"/>
      <c r="D6" s="233"/>
      <c r="E6" s="176">
        <f>SUM(E5*43560)</f>
        <v>152460</v>
      </c>
      <c r="F6" s="31"/>
      <c r="G6" s="115"/>
      <c r="J6" t="s">
        <v>186</v>
      </c>
    </row>
    <row r="7" spans="1:10">
      <c r="A7" s="239"/>
      <c r="B7" s="233" t="s">
        <v>106</v>
      </c>
      <c r="C7" s="233"/>
      <c r="D7" s="233"/>
      <c r="E7" s="177">
        <f>SUM(E6-E3)</f>
        <v>97676</v>
      </c>
      <c r="F7" s="31"/>
      <c r="G7" s="115"/>
      <c r="J7" t="s">
        <v>187</v>
      </c>
    </row>
    <row r="8" spans="1:10" ht="15.75" thickBot="1">
      <c r="A8" s="239"/>
      <c r="B8" s="233"/>
      <c r="C8" s="240" t="s">
        <v>19</v>
      </c>
      <c r="D8" s="240" t="s">
        <v>20</v>
      </c>
      <c r="E8" s="241" t="s">
        <v>101</v>
      </c>
      <c r="F8" s="31"/>
      <c r="G8" s="115"/>
      <c r="J8" t="s">
        <v>188</v>
      </c>
    </row>
    <row r="9" spans="1:10" ht="15.75" thickBot="1">
      <c r="A9" s="239"/>
      <c r="B9" s="233" t="s">
        <v>21</v>
      </c>
      <c r="C9" s="9">
        <v>1</v>
      </c>
      <c r="D9" s="9">
        <v>3</v>
      </c>
      <c r="E9" s="180">
        <f>SUM(C9+D9*0.5)</f>
        <v>2.5</v>
      </c>
      <c r="G9" s="115">
        <f>'Staffing Expenses'!$H$9</f>
        <v>0</v>
      </c>
      <c r="H9" s="115">
        <f>SUM(E9:G9)</f>
        <v>2.5</v>
      </c>
      <c r="J9" t="s">
        <v>189</v>
      </c>
    </row>
    <row r="10" spans="1:10" ht="15.75" thickBot="1">
      <c r="A10" s="239"/>
      <c r="B10" s="233" t="s">
        <v>22</v>
      </c>
      <c r="C10" s="9">
        <v>0</v>
      </c>
      <c r="D10" s="9">
        <v>0</v>
      </c>
      <c r="E10" s="180">
        <f>SUM(C10+D10*0.5)</f>
        <v>0</v>
      </c>
      <c r="F10" s="31"/>
      <c r="G10" s="115">
        <f>'Staffing Expenses'!$H$17</f>
        <v>0</v>
      </c>
      <c r="H10" s="115">
        <f>SUM(E10:G10)</f>
        <v>0</v>
      </c>
      <c r="J10" t="s">
        <v>190</v>
      </c>
    </row>
    <row r="11" spans="1:10" ht="15.75" thickBot="1">
      <c r="A11" s="239"/>
      <c r="B11" s="233" t="s">
        <v>23</v>
      </c>
      <c r="C11" s="9">
        <v>0</v>
      </c>
      <c r="D11" s="9">
        <v>0</v>
      </c>
      <c r="E11" s="180">
        <f>SUM(C11+D11*0.5)</f>
        <v>0</v>
      </c>
      <c r="F11" s="31"/>
      <c r="G11" s="115">
        <f>'Staffing Expenses'!$H$26</f>
        <v>0</v>
      </c>
      <c r="H11" s="115">
        <f>SUM(E11:G11)</f>
        <v>0</v>
      </c>
      <c r="J11" t="s">
        <v>191</v>
      </c>
    </row>
    <row r="12" spans="1:10" ht="15.75" thickBot="1">
      <c r="A12" s="239"/>
      <c r="B12" s="233" t="s">
        <v>24</v>
      </c>
      <c r="C12" s="9">
        <v>1</v>
      </c>
      <c r="D12" s="9">
        <v>0</v>
      </c>
      <c r="E12" s="180">
        <f>SUM(C12+D12*0.5)</f>
        <v>1</v>
      </c>
      <c r="F12" s="31"/>
      <c r="G12" s="115"/>
      <c r="H12" s="115">
        <f>SUM(F12:G12)</f>
        <v>0</v>
      </c>
      <c r="J12" t="s">
        <v>192</v>
      </c>
    </row>
    <row r="13" spans="1:10">
      <c r="A13" s="239"/>
      <c r="B13" s="237" t="s">
        <v>26</v>
      </c>
      <c r="C13" s="178">
        <f>SUM(C9:C12)</f>
        <v>2</v>
      </c>
      <c r="D13" s="233"/>
      <c r="E13" s="242"/>
      <c r="G13" s="115"/>
    </row>
    <row r="14" spans="1:10">
      <c r="A14" s="239"/>
      <c r="B14" s="237" t="s">
        <v>27</v>
      </c>
      <c r="C14" s="233"/>
      <c r="D14" s="179">
        <f>SUM(D9:D13)</f>
        <v>3</v>
      </c>
      <c r="E14" s="242"/>
      <c r="G14" s="115"/>
    </row>
    <row r="15" spans="1:10" ht="15.75" thickBot="1">
      <c r="A15" s="239"/>
      <c r="B15" s="237"/>
      <c r="C15" s="240" t="s">
        <v>19</v>
      </c>
      <c r="D15" s="240" t="s">
        <v>20</v>
      </c>
      <c r="E15" s="243" t="s">
        <v>105</v>
      </c>
      <c r="G15" s="115"/>
    </row>
    <row r="16" spans="1:10">
      <c r="A16" s="239"/>
      <c r="B16" s="233" t="s">
        <v>207</v>
      </c>
      <c r="C16" s="12">
        <v>191444</v>
      </c>
      <c r="D16" s="282">
        <v>0</v>
      </c>
      <c r="E16" s="181">
        <f>SUM(C16:D16)</f>
        <v>191444</v>
      </c>
      <c r="F16" s="116"/>
      <c r="G16" s="117">
        <f>'Staffing Expenses'!$N$9</f>
        <v>0</v>
      </c>
      <c r="I16" s="44"/>
    </row>
    <row r="17" spans="1:8">
      <c r="A17" s="239"/>
      <c r="B17" s="233" t="s">
        <v>208</v>
      </c>
      <c r="C17" s="13">
        <v>0</v>
      </c>
      <c r="D17" s="14">
        <v>0</v>
      </c>
      <c r="E17" s="182">
        <f>SUM(C17:D17)</f>
        <v>0</v>
      </c>
      <c r="G17" s="117" t="str">
        <f>'Staffing Expenses'!$N$17</f>
        <v>Unknown</v>
      </c>
    </row>
    <row r="18" spans="1:8">
      <c r="A18" s="239"/>
      <c r="B18" s="233" t="s">
        <v>209</v>
      </c>
      <c r="C18" s="13">
        <v>0</v>
      </c>
      <c r="D18" s="14">
        <v>0</v>
      </c>
      <c r="E18" s="182">
        <f>SUM(C18:D18)</f>
        <v>0</v>
      </c>
      <c r="G18" s="117" t="str">
        <f>'Staffing Expenses'!$N$26</f>
        <v>Unknown</v>
      </c>
    </row>
    <row r="19" spans="1:8" ht="15.75" thickBot="1">
      <c r="A19" s="239"/>
      <c r="B19" s="233" t="s">
        <v>210</v>
      </c>
      <c r="C19" s="15">
        <v>207991</v>
      </c>
      <c r="D19" s="16">
        <v>0</v>
      </c>
      <c r="E19" s="182">
        <f>SUM(C19:D19)</f>
        <v>207991</v>
      </c>
      <c r="G19" s="115"/>
    </row>
    <row r="20" spans="1:8">
      <c r="A20" s="239"/>
      <c r="B20" s="237" t="s">
        <v>25</v>
      </c>
      <c r="C20" s="233"/>
      <c r="D20" s="233"/>
      <c r="E20" s="183">
        <f>SUM(E16:E19)</f>
        <v>399435</v>
      </c>
    </row>
    <row r="21" spans="1:8">
      <c r="A21" s="239"/>
      <c r="B21" s="237"/>
      <c r="C21" s="301" t="s">
        <v>218</v>
      </c>
      <c r="D21" s="302"/>
      <c r="E21" s="303"/>
    </row>
    <row r="22" spans="1:8">
      <c r="A22" s="304" t="s">
        <v>33</v>
      </c>
      <c r="B22" s="233" t="s">
        <v>211</v>
      </c>
      <c r="C22" s="233"/>
      <c r="D22" s="233"/>
      <c r="E22" s="184">
        <f>SUM(E16/E3)</f>
        <v>3.4945239485981308</v>
      </c>
      <c r="G22" s="118">
        <f>IF(G16="Unknown","0",SUM(G16/E3))</f>
        <v>0</v>
      </c>
      <c r="H22" s="118">
        <f>SUM(E22:G22)</f>
        <v>3.4945239485981308</v>
      </c>
    </row>
    <row r="23" spans="1:8">
      <c r="A23" s="304"/>
      <c r="B23" s="233" t="s">
        <v>212</v>
      </c>
      <c r="C23" s="233"/>
      <c r="D23" s="233"/>
      <c r="E23" s="184">
        <f>SUM(E17/E3)</f>
        <v>0</v>
      </c>
      <c r="G23" s="118" t="str">
        <f>IF(G17="Unknown","0",SUM(G17/E3))</f>
        <v>0</v>
      </c>
      <c r="H23" s="118">
        <f>SUM(E23:G23)</f>
        <v>0</v>
      </c>
    </row>
    <row r="24" spans="1:8">
      <c r="A24" s="304"/>
      <c r="B24" s="233" t="s">
        <v>213</v>
      </c>
      <c r="C24" s="233"/>
      <c r="D24" s="233"/>
      <c r="E24" s="184">
        <f>SUM(E18/E7)</f>
        <v>0</v>
      </c>
      <c r="G24" s="118" t="str">
        <f>IF(G18="Unknown","0",SUM(G18/E3))</f>
        <v>0</v>
      </c>
      <c r="H24" s="118">
        <f>SUM(E24:G24)</f>
        <v>0</v>
      </c>
    </row>
    <row r="25" spans="1:8">
      <c r="A25" s="304"/>
      <c r="B25" s="233" t="s">
        <v>214</v>
      </c>
      <c r="C25" s="233"/>
      <c r="D25" s="233"/>
      <c r="E25" s="184">
        <f>SUM(E19/E3)</f>
        <v>3.7965646904205608</v>
      </c>
      <c r="G25" s="118">
        <f>IF(G19="Unknown","0",SUM(G19/E3))</f>
        <v>0</v>
      </c>
      <c r="H25" s="118">
        <f>SUM(E25:G25)</f>
        <v>3.7965646904205608</v>
      </c>
    </row>
    <row r="26" spans="1:8" ht="17.25" customHeight="1">
      <c r="A26" s="304"/>
      <c r="B26" s="237" t="s">
        <v>215</v>
      </c>
      <c r="C26" s="233"/>
      <c r="D26" s="233"/>
      <c r="E26" s="185">
        <f>SUM(E22:E25)</f>
        <v>7.2910886390186915</v>
      </c>
      <c r="G26" s="115"/>
      <c r="H26" s="118">
        <f>SUM(H22:H25)</f>
        <v>7.2910886390186915</v>
      </c>
    </row>
    <row r="27" spans="1:8" ht="17.25" customHeight="1" thickBot="1">
      <c r="A27" s="244"/>
      <c r="B27" s="233"/>
      <c r="C27" s="233"/>
      <c r="D27" s="233"/>
      <c r="E27" s="242"/>
    </row>
    <row r="28" spans="1:8" ht="17.25" customHeight="1" thickBot="1">
      <c r="A28" s="304" t="s">
        <v>140</v>
      </c>
      <c r="B28" s="233" t="s">
        <v>174</v>
      </c>
      <c r="C28" s="233"/>
      <c r="D28" s="233"/>
      <c r="E28" s="17">
        <v>9996</v>
      </c>
    </row>
    <row r="29" spans="1:8" ht="17.25" customHeight="1">
      <c r="A29" s="304"/>
      <c r="B29" s="237" t="s">
        <v>216</v>
      </c>
      <c r="C29" s="233"/>
      <c r="D29" s="233"/>
      <c r="E29" s="186">
        <f>SUM(E28/E6)</f>
        <v>6.5564738292011024E-2</v>
      </c>
    </row>
    <row r="30" spans="1:8" ht="17.25" customHeight="1" thickBot="1">
      <c r="A30" s="244"/>
      <c r="B30" s="233"/>
      <c r="C30" s="233"/>
      <c r="D30" s="233"/>
      <c r="E30" s="242"/>
    </row>
    <row r="31" spans="1:8" ht="17.25" customHeight="1" thickBot="1">
      <c r="A31" s="304" t="s">
        <v>140</v>
      </c>
      <c r="B31" s="233" t="s">
        <v>196</v>
      </c>
      <c r="C31" s="233"/>
      <c r="D31" s="233"/>
      <c r="E31" s="17">
        <v>10085</v>
      </c>
    </row>
    <row r="32" spans="1:8" ht="17.25" customHeight="1">
      <c r="A32" s="304"/>
      <c r="B32" s="237" t="s">
        <v>217</v>
      </c>
      <c r="C32" s="233"/>
      <c r="D32" s="233"/>
      <c r="E32" s="186">
        <f>SUM(E31/E3)</f>
        <v>0.18408659462616822</v>
      </c>
      <c r="F32" s="119" t="s">
        <v>62</v>
      </c>
    </row>
    <row r="33" spans="1:8" ht="17.25" customHeight="1" thickBot="1">
      <c r="A33" s="244"/>
      <c r="B33" s="233"/>
      <c r="C33" s="233"/>
      <c r="D33" s="233"/>
      <c r="E33" s="245"/>
      <c r="F33" s="119" t="s">
        <v>38</v>
      </c>
      <c r="H33" t="s">
        <v>38</v>
      </c>
    </row>
    <row r="34" spans="1:8" ht="17.25" customHeight="1" thickBot="1">
      <c r="A34" s="304" t="s">
        <v>140</v>
      </c>
      <c r="B34" s="233" t="s">
        <v>195</v>
      </c>
      <c r="C34" s="233"/>
      <c r="D34" s="233"/>
      <c r="E34" s="17">
        <v>147886</v>
      </c>
      <c r="F34" s="119"/>
      <c r="G34" t="s">
        <v>38</v>
      </c>
    </row>
    <row r="35" spans="1:8" ht="17.25" customHeight="1">
      <c r="A35" s="304"/>
      <c r="B35" s="237" t="s">
        <v>217</v>
      </c>
      <c r="C35" s="233"/>
      <c r="D35" s="233"/>
      <c r="E35" s="186">
        <f>SUM(E34/E3)</f>
        <v>2.6994377920560746</v>
      </c>
      <c r="F35" s="120">
        <f>SUM(E32+E35)</f>
        <v>2.8835243866822426</v>
      </c>
    </row>
    <row r="36" spans="1:8" ht="17.25" customHeight="1" thickBot="1">
      <c r="A36" s="244"/>
      <c r="B36" s="233"/>
      <c r="C36" s="233"/>
      <c r="D36" s="233"/>
      <c r="E36" s="245"/>
    </row>
    <row r="37" spans="1:8" ht="17.25" customHeight="1" thickBot="1">
      <c r="A37" s="304" t="s">
        <v>30</v>
      </c>
      <c r="B37" s="233" t="s">
        <v>35</v>
      </c>
      <c r="C37" s="233"/>
      <c r="D37" s="233"/>
      <c r="E37" s="17">
        <v>181265</v>
      </c>
      <c r="F37" s="119" t="s">
        <v>78</v>
      </c>
    </row>
    <row r="38" spans="1:8" ht="17.25" customHeight="1">
      <c r="A38" s="304"/>
      <c r="B38" s="237" t="s">
        <v>217</v>
      </c>
      <c r="C38" s="233"/>
      <c r="D38" s="233"/>
      <c r="E38" s="186">
        <f>SUM(E37/E3)</f>
        <v>3.3087215245327104</v>
      </c>
      <c r="F38" s="119"/>
    </row>
    <row r="39" spans="1:8" ht="17.25" customHeight="1" thickBot="1">
      <c r="A39" s="244"/>
      <c r="B39" s="233"/>
      <c r="C39" s="233"/>
      <c r="D39" s="233"/>
      <c r="E39" s="242"/>
      <c r="F39" s="119"/>
    </row>
    <row r="40" spans="1:8" ht="17.25" customHeight="1" thickBot="1">
      <c r="A40" s="304" t="s">
        <v>34</v>
      </c>
      <c r="B40" s="233" t="s">
        <v>36</v>
      </c>
      <c r="C40" s="233"/>
      <c r="D40" s="233"/>
      <c r="E40" s="17">
        <v>0</v>
      </c>
      <c r="F40" s="119"/>
    </row>
    <row r="41" spans="1:8">
      <c r="A41" s="304"/>
      <c r="B41" s="237" t="s">
        <v>217</v>
      </c>
      <c r="C41" s="233"/>
      <c r="D41" s="233"/>
      <c r="E41" s="186">
        <f>SUM(E40/E3)</f>
        <v>0</v>
      </c>
      <c r="F41" s="120">
        <f>SUM(E38+E41)</f>
        <v>3.3087215245327104</v>
      </c>
    </row>
    <row r="42" spans="1:8">
      <c r="A42" s="246"/>
      <c r="B42" s="247"/>
      <c r="C42" s="247"/>
      <c r="D42" s="247"/>
      <c r="E42" s="248"/>
    </row>
    <row r="43" spans="1:8">
      <c r="A43" s="412" t="s">
        <v>248</v>
      </c>
      <c r="B43" s="412"/>
      <c r="C43" s="412"/>
      <c r="D43" s="412"/>
    </row>
  </sheetData>
  <sheetProtection algorithmName="SHA-512" hashValue="1wxqzXMoxZqu2Fdhxu+YNWXPDJDD/EXrPE99UY+Q/zhHTRSltRHVXHxYFpDnrWhoqmjIa1BALqs119h5Q1VLuA==" saltValue="8NHD4WTK2Krve1P+3d4RsQ==" spinCount="100000" sheet="1" objects="1" scenarios="1"/>
  <mergeCells count="10">
    <mergeCell ref="A1:B1"/>
    <mergeCell ref="A2:E2"/>
    <mergeCell ref="C21:E21"/>
    <mergeCell ref="A28:A29"/>
    <mergeCell ref="A31:A32"/>
    <mergeCell ref="A34:A35"/>
    <mergeCell ref="A37:A38"/>
    <mergeCell ref="A40:A41"/>
    <mergeCell ref="A22:A26"/>
    <mergeCell ref="A43:D43"/>
  </mergeCells>
  <dataValidations count="1">
    <dataValidation type="list" allowBlank="1" showInputMessage="1" showErrorMessage="1" sqref="D1" xr:uid="{DF944EFA-B2E1-45A2-986D-981CAF5F0D61}">
      <formula1>$J$2:$J$12</formula1>
    </dataValidation>
  </dataValidations>
  <pageMargins left="0.7" right="0.7" top="0.75" bottom="0.75" header="0.3" footer="0.3"/>
  <pageSetup scale="8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57EE62-D823-4CEA-92CD-E7C5BC0A6A9C}">
  <sheetPr codeName="Sheet2">
    <pageSetUpPr fitToPage="1"/>
  </sheetPr>
  <dimension ref="A1:O194"/>
  <sheetViews>
    <sheetView topLeftCell="A6" zoomScale="70" zoomScaleNormal="70" workbookViewId="0">
      <selection activeCell="C20" sqref="C20"/>
    </sheetView>
  </sheetViews>
  <sheetFormatPr defaultRowHeight="15"/>
  <cols>
    <col min="1" max="5" width="22.7109375" customWidth="1"/>
    <col min="6" max="6" width="19.28515625" customWidth="1"/>
    <col min="7" max="7" width="2.140625" style="1" customWidth="1"/>
    <col min="8" max="11" width="16.28515625" customWidth="1"/>
    <col min="12" max="13" width="16.140625" customWidth="1"/>
    <col min="14" max="14" width="15.85546875" customWidth="1"/>
    <col min="15" max="15" width="17.7109375" customWidth="1"/>
  </cols>
  <sheetData>
    <row r="1" spans="1:15" ht="37.5" customHeight="1" thickBot="1">
      <c r="A1" s="312" t="s">
        <v>249</v>
      </c>
      <c r="B1" s="313"/>
      <c r="C1" s="313"/>
      <c r="D1" s="313"/>
      <c r="E1" s="313"/>
      <c r="F1" s="313"/>
      <c r="G1" s="313"/>
      <c r="H1" s="313"/>
      <c r="I1" s="313"/>
      <c r="J1" s="313"/>
      <c r="K1" s="313"/>
      <c r="L1" s="313"/>
      <c r="M1" s="313"/>
      <c r="N1" s="313"/>
      <c r="O1" s="314"/>
    </row>
    <row r="2" spans="1:15" ht="24.75" customHeight="1">
      <c r="A2" s="317" t="s">
        <v>178</v>
      </c>
      <c r="B2" s="316"/>
      <c r="C2" s="316"/>
      <c r="D2" s="316"/>
      <c r="E2" s="316"/>
      <c r="F2" s="316"/>
      <c r="G2" s="49"/>
      <c r="H2" s="324" t="s">
        <v>181</v>
      </c>
      <c r="I2" s="324"/>
      <c r="J2" s="324"/>
      <c r="K2" s="324"/>
      <c r="L2" s="324"/>
      <c r="M2" s="324"/>
      <c r="N2" s="324"/>
      <c r="O2" s="324"/>
    </row>
    <row r="3" spans="1:15" ht="63.95" customHeight="1">
      <c r="A3" s="50" t="s">
        <v>197</v>
      </c>
      <c r="B3" s="51" t="s">
        <v>198</v>
      </c>
      <c r="C3" s="51" t="s">
        <v>199</v>
      </c>
      <c r="D3" s="51" t="s">
        <v>200</v>
      </c>
      <c r="E3" s="51" t="s">
        <v>201</v>
      </c>
      <c r="G3" s="49"/>
      <c r="H3" s="308"/>
      <c r="I3" s="308"/>
      <c r="J3" s="308"/>
      <c r="K3" s="308"/>
      <c r="L3" s="308"/>
      <c r="M3" s="308"/>
      <c r="N3" s="308"/>
      <c r="O3" s="308"/>
    </row>
    <row r="4" spans="1:15" ht="15.75" customHeight="1">
      <c r="A4" s="52" t="s">
        <v>3</v>
      </c>
      <c r="B4" s="53" t="s">
        <v>4</v>
      </c>
      <c r="C4" s="53" t="s">
        <v>5</v>
      </c>
      <c r="D4" s="53" t="s">
        <v>6</v>
      </c>
      <c r="E4" s="53" t="s">
        <v>206</v>
      </c>
      <c r="G4" s="49"/>
      <c r="H4" s="308"/>
      <c r="I4" s="308"/>
      <c r="J4" s="308"/>
      <c r="K4" s="308"/>
      <c r="L4" s="308"/>
      <c r="M4" s="308"/>
      <c r="N4" s="308"/>
      <c r="O4" s="308"/>
    </row>
    <row r="5" spans="1:15" ht="21">
      <c r="A5" s="54">
        <v>8500</v>
      </c>
      <c r="B5" s="55">
        <v>16700</v>
      </c>
      <c r="C5" s="56">
        <v>26500</v>
      </c>
      <c r="D5" s="57">
        <v>39500</v>
      </c>
      <c r="E5" s="58">
        <v>45600</v>
      </c>
      <c r="G5" s="49"/>
      <c r="H5" s="321" t="s">
        <v>153</v>
      </c>
      <c r="I5" s="322"/>
      <c r="J5" s="322"/>
      <c r="K5" s="322"/>
      <c r="L5" s="322"/>
      <c r="M5" s="322"/>
      <c r="N5" s="322"/>
      <c r="O5" s="323"/>
    </row>
    <row r="6" spans="1:15" ht="18.75">
      <c r="A6" s="59"/>
      <c r="B6" s="60"/>
      <c r="C6" s="60"/>
      <c r="D6" s="60"/>
      <c r="E6" s="60"/>
      <c r="G6" s="49"/>
      <c r="H6" s="310" t="s">
        <v>225</v>
      </c>
      <c r="I6" s="310"/>
      <c r="J6" s="310"/>
      <c r="K6" s="310"/>
      <c r="L6" s="310"/>
      <c r="M6" s="310"/>
      <c r="N6" s="310"/>
      <c r="O6" s="320"/>
    </row>
    <row r="7" spans="1:15" ht="75.75" thickBot="1">
      <c r="A7" s="61" t="s">
        <v>250</v>
      </c>
      <c r="B7" s="3" t="s">
        <v>0</v>
      </c>
      <c r="C7" s="3" t="s">
        <v>1</v>
      </c>
      <c r="D7" s="62" t="s">
        <v>37</v>
      </c>
      <c r="E7" s="62" t="s">
        <v>2</v>
      </c>
      <c r="F7" s="63" t="s">
        <v>155</v>
      </c>
      <c r="G7" s="64"/>
      <c r="H7" s="65" t="s">
        <v>102</v>
      </c>
      <c r="I7" s="66" t="s">
        <v>8</v>
      </c>
      <c r="J7" s="66" t="s">
        <v>7</v>
      </c>
      <c r="K7" s="66" t="s">
        <v>162</v>
      </c>
      <c r="L7" s="66" t="s">
        <v>219</v>
      </c>
      <c r="M7" s="66" t="s">
        <v>220</v>
      </c>
      <c r="N7" s="66" t="s">
        <v>221</v>
      </c>
      <c r="O7" s="67" t="s">
        <v>222</v>
      </c>
    </row>
    <row r="8" spans="1:15" ht="38.1" hidden="1" customHeight="1" thickBot="1">
      <c r="A8" s="68" t="s">
        <v>120</v>
      </c>
      <c r="B8" s="69" t="s">
        <v>29</v>
      </c>
      <c r="C8" s="70">
        <v>617680</v>
      </c>
      <c r="D8" s="71">
        <v>27</v>
      </c>
      <c r="E8" s="70">
        <f>SUM(C8/D8)</f>
        <v>22877.037037037036</v>
      </c>
      <c r="F8" s="72" t="str">
        <f>IF(E8&gt;E5,"5",IF(E8&gt;D5,"4-5",IF(E8&gt;C5,"3-4",IF(E8&gt;B5,"2-3",IF(E8&gt;A5,"1-2",IF(E8&lt;A5,"1",0))))))</f>
        <v>2-3</v>
      </c>
      <c r="G8" s="64"/>
      <c r="H8" s="73"/>
      <c r="I8" s="74">
        <f>SUM(D8+H8)</f>
        <v>27</v>
      </c>
      <c r="J8" s="75">
        <f>SUM(C8/I8)</f>
        <v>22877.037037037036</v>
      </c>
      <c r="K8" s="76" t="str">
        <f>IF(J8&gt;E5,"5",IF(J8&gt;D5,"4-5",IF(J8&gt;C5,"3-4",IF(J8&gt;B5,"2-3",IF(J8&gt;A5,"1-2",IF(J8&lt;A5,"1",0))))))</f>
        <v>2-3</v>
      </c>
      <c r="L8" s="77">
        <v>2256655</v>
      </c>
      <c r="M8" s="78">
        <f>SUM(L8/C8)</f>
        <v>3.6534370547856496</v>
      </c>
      <c r="N8" s="79">
        <f>SUM(J8*H8*M8)</f>
        <v>0</v>
      </c>
      <c r="O8" s="80">
        <f>SUM(L8+N8)</f>
        <v>2256655</v>
      </c>
    </row>
    <row r="9" spans="1:15" ht="38.1" customHeight="1" thickBot="1">
      <c r="A9" s="272" t="str">
        <f>'Summary Data'!$D$1</f>
        <v>2020-2021</v>
      </c>
      <c r="B9" s="273" t="str">
        <f>'Summary Data'!$A$1</f>
        <v>District Operations Center</v>
      </c>
      <c r="C9" s="219">
        <f>'Summary Data'!$E$3</f>
        <v>54784</v>
      </c>
      <c r="D9" s="220">
        <f>'Summary Data'!$E$9</f>
        <v>2.5</v>
      </c>
      <c r="E9" s="219">
        <f>IF(D9,C9/D9,"Unknown")</f>
        <v>21913.599999999999</v>
      </c>
      <c r="F9" s="283" t="str">
        <f>IF(E9="Unknown","Unknown",IF(E9&gt;E5,"5",IF(E9&gt;D5,"4-5",IF(E9&gt;C5,"3-4",IF(E9&gt;B5,"2-3",IF(E9&gt;A5,"1-2",IF(E9&lt;A5,"1",0)))))))</f>
        <v>2-3</v>
      </c>
      <c r="G9" s="81"/>
      <c r="H9" s="271">
        <v>0</v>
      </c>
      <c r="I9" s="274">
        <f>SUM(D9+H9)</f>
        <v>2.5</v>
      </c>
      <c r="J9" s="219">
        <f>IF(I9,C9/I9,"Unknown")</f>
        <v>21913.599999999999</v>
      </c>
      <c r="K9" s="217" t="str">
        <f>IF(J9="Unknown","Unknown",IF(J9&gt;E5,"5",IF(J9&gt;D5,"4-5",IF(J9&gt;C5,"3-4",IF(J9&gt;B5,"2-3",IF(J9&gt;A5,"1-2",IF(J9&lt;A5,"1",0)))))))</f>
        <v>2-3</v>
      </c>
      <c r="L9" s="222">
        <f>'Summary Data'!$E$16</f>
        <v>191444</v>
      </c>
      <c r="M9" s="223">
        <f>SUM(L9/C9)</f>
        <v>3.4945239485981308</v>
      </c>
      <c r="N9" s="284">
        <f>IF(J9="Unknown","Unknown",SUM(J9*H9*M9))</f>
        <v>0</v>
      </c>
      <c r="O9" s="285">
        <f>IF(N9="Unknown","Unknown",SUM(L9+N9))</f>
        <v>191444</v>
      </c>
    </row>
    <row r="10" spans="1:15" ht="32.1" customHeight="1">
      <c r="A10" s="82"/>
      <c r="B10" s="83"/>
      <c r="C10" s="84"/>
      <c r="D10" s="85"/>
      <c r="E10" s="84"/>
      <c r="F10" s="86"/>
      <c r="G10" s="87"/>
      <c r="H10" s="87"/>
      <c r="I10" s="88"/>
      <c r="J10" s="89"/>
      <c r="K10" s="90"/>
      <c r="L10" s="91"/>
      <c r="M10" s="92"/>
      <c r="N10" s="91"/>
      <c r="O10" s="93"/>
    </row>
    <row r="11" spans="1:15" ht="26.25" customHeight="1">
      <c r="A11" s="315" t="s">
        <v>179</v>
      </c>
      <c r="B11" s="316"/>
      <c r="C11" s="316"/>
      <c r="D11" s="316"/>
      <c r="E11" s="316"/>
      <c r="F11" s="316"/>
      <c r="G11" s="49"/>
      <c r="H11" s="324" t="s">
        <v>181</v>
      </c>
      <c r="I11" s="324"/>
      <c r="J11" s="324"/>
      <c r="K11" s="324"/>
      <c r="L11" s="324"/>
      <c r="M11" s="324"/>
      <c r="N11" s="324"/>
      <c r="O11" s="324"/>
    </row>
    <row r="12" spans="1:15" ht="63.95" customHeight="1">
      <c r="A12" s="51" t="s">
        <v>156</v>
      </c>
      <c r="B12" s="51" t="s">
        <v>157</v>
      </c>
      <c r="C12" s="51" t="s">
        <v>158</v>
      </c>
      <c r="D12" s="51" t="s">
        <v>159</v>
      </c>
      <c r="E12" s="51" t="s">
        <v>160</v>
      </c>
      <c r="G12" s="49"/>
      <c r="H12" s="308"/>
      <c r="I12" s="308"/>
      <c r="J12" s="308"/>
      <c r="K12" s="308"/>
      <c r="L12" s="308"/>
      <c r="M12" s="308"/>
      <c r="N12" s="308"/>
      <c r="O12" s="308"/>
    </row>
    <row r="13" spans="1:15" ht="31.5" customHeight="1">
      <c r="A13" s="53" t="s">
        <v>9</v>
      </c>
      <c r="B13" s="53" t="s">
        <v>10</v>
      </c>
      <c r="C13" s="53" t="s">
        <v>11</v>
      </c>
      <c r="D13" s="53" t="s">
        <v>12</v>
      </c>
      <c r="E13" s="53" t="s">
        <v>13</v>
      </c>
      <c r="G13" s="49"/>
      <c r="H13" s="308"/>
      <c r="I13" s="308"/>
      <c r="J13" s="308"/>
      <c r="K13" s="308"/>
      <c r="L13" s="308"/>
      <c r="M13" s="308"/>
      <c r="N13" s="308"/>
      <c r="O13" s="308"/>
    </row>
    <row r="14" spans="1:15" ht="21">
      <c r="A14" s="94">
        <v>47220</v>
      </c>
      <c r="B14" s="55">
        <v>67456</v>
      </c>
      <c r="C14" s="56">
        <v>94439</v>
      </c>
      <c r="D14" s="57">
        <v>118049</v>
      </c>
      <c r="E14" s="58">
        <v>236098</v>
      </c>
      <c r="G14" s="49"/>
      <c r="H14" s="325" t="s">
        <v>223</v>
      </c>
      <c r="I14" s="326"/>
      <c r="J14" s="326"/>
      <c r="K14" s="326"/>
      <c r="L14" s="326"/>
      <c r="M14" s="326"/>
      <c r="N14" s="326"/>
      <c r="O14" s="327"/>
    </row>
    <row r="15" spans="1:15" ht="18.75">
      <c r="A15" s="95"/>
      <c r="B15" s="96"/>
      <c r="C15" s="96"/>
      <c r="D15" s="96"/>
      <c r="E15" s="96"/>
      <c r="G15" s="49"/>
      <c r="H15" s="310" t="s">
        <v>224</v>
      </c>
      <c r="I15" s="310"/>
      <c r="J15" s="310"/>
      <c r="K15" s="310"/>
      <c r="L15" s="310"/>
      <c r="M15" s="310"/>
      <c r="N15" s="310"/>
      <c r="O15" s="311"/>
    </row>
    <row r="16" spans="1:15" ht="84" customHeight="1" thickBot="1">
      <c r="A16" s="3" t="s">
        <v>250</v>
      </c>
      <c r="B16" s="3" t="s">
        <v>0</v>
      </c>
      <c r="C16" s="3" t="s">
        <v>1</v>
      </c>
      <c r="D16" s="62" t="s">
        <v>39</v>
      </c>
      <c r="E16" s="62" t="s">
        <v>40</v>
      </c>
      <c r="F16" s="63" t="s">
        <v>154</v>
      </c>
      <c r="G16" s="97"/>
      <c r="H16" s="98" t="s">
        <v>109</v>
      </c>
      <c r="I16" s="62" t="s">
        <v>8</v>
      </c>
      <c r="J16" s="62" t="s">
        <v>110</v>
      </c>
      <c r="K16" s="62" t="s">
        <v>227</v>
      </c>
      <c r="L16" s="62" t="s">
        <v>228</v>
      </c>
      <c r="M16" s="62" t="s">
        <v>229</v>
      </c>
      <c r="N16" s="62" t="s">
        <v>235</v>
      </c>
      <c r="O16" s="62" t="s">
        <v>230</v>
      </c>
    </row>
    <row r="17" spans="1:15" ht="38.1" customHeight="1" thickBot="1">
      <c r="A17" s="212" t="str">
        <f>'Summary Data'!$D$1</f>
        <v>2020-2021</v>
      </c>
      <c r="B17" s="213" t="str">
        <f>'Summary Data'!$A$1</f>
        <v>District Operations Center</v>
      </c>
      <c r="C17" s="214">
        <f>'Summary Data'!$E$3</f>
        <v>54784</v>
      </c>
      <c r="D17" s="215">
        <f>'Summary Data'!$E$10</f>
        <v>0</v>
      </c>
      <c r="E17" s="219" t="str">
        <f>IF(D17,C17/D17,"Unknown")</f>
        <v>Unknown</v>
      </c>
      <c r="F17" s="286" t="str">
        <f>IF(E17="Unknown","Unknown",IF(E17&gt;E14,"5",IF(E17&gt;D14,"4-5",IF(E17&gt;C14,"3-4",IF(E17&gt;B14,"2-3",IF(E17&gt;A14,"1-2",IF(E17&lt;A14,"1",0)))))))</f>
        <v>Unknown</v>
      </c>
      <c r="G17" s="97"/>
      <c r="H17" s="271">
        <v>0</v>
      </c>
      <c r="I17" s="216">
        <f>SUM(D17+H17)</f>
        <v>0</v>
      </c>
      <c r="J17" s="219" t="str">
        <f>IF(I17,C17/I17,"Unknown")</f>
        <v>Unknown</v>
      </c>
      <c r="K17" s="217" t="str">
        <f>IF(J17="Unknown","Unknown",IF(J17&gt;E14,"5",IF(J17&gt;D14,"4-5",IF(J17&gt;C14,"3-4",IF(J17&gt;B14,"2-3",IF(J17&gt;A14,"1-2",IF(J17&lt;A14,"1",0)))))))</f>
        <v>Unknown</v>
      </c>
      <c r="L17" s="284">
        <f>'Summary Data'!$E$17</f>
        <v>0</v>
      </c>
      <c r="M17" s="287">
        <f>SUM(L17/C17)</f>
        <v>0</v>
      </c>
      <c r="N17" s="284" t="str">
        <f>IF(J17="Unknown","Unknown",SUM(J17*H17*M17))</f>
        <v>Unknown</v>
      </c>
      <c r="O17" s="285" t="str">
        <f>IF(N17="Unknown","Unknown",SUM(L17+N17))</f>
        <v>Unknown</v>
      </c>
    </row>
    <row r="18" spans="1:15" ht="32.1" customHeight="1">
      <c r="A18" s="99"/>
      <c r="B18" s="100"/>
      <c r="C18" s="101"/>
      <c r="D18" s="102"/>
      <c r="E18" s="280"/>
      <c r="F18" s="281"/>
      <c r="G18" s="103"/>
      <c r="H18" s="104"/>
      <c r="I18" s="105"/>
      <c r="J18" s="275"/>
      <c r="K18" s="276"/>
      <c r="L18" s="277"/>
      <c r="M18" s="278"/>
      <c r="N18" s="277"/>
      <c r="O18" s="279"/>
    </row>
    <row r="19" spans="1:15" ht="26.25" customHeight="1">
      <c r="A19" s="318" t="s">
        <v>180</v>
      </c>
      <c r="B19" s="319"/>
      <c r="C19" s="319"/>
      <c r="D19" s="319"/>
      <c r="E19" s="319"/>
      <c r="F19" s="319"/>
      <c r="G19" s="49"/>
      <c r="H19" s="308" t="s">
        <v>181</v>
      </c>
      <c r="I19" s="308"/>
      <c r="J19" s="308"/>
      <c r="K19" s="308"/>
      <c r="L19" s="308"/>
      <c r="M19" s="308"/>
      <c r="N19" s="308"/>
      <c r="O19" s="308"/>
    </row>
    <row r="20" spans="1:15" ht="63.95" customHeight="1">
      <c r="A20" s="51" t="s">
        <v>146</v>
      </c>
      <c r="B20" s="51" t="s">
        <v>147</v>
      </c>
      <c r="C20" s="51" t="s">
        <v>148</v>
      </c>
      <c r="D20" s="51" t="s">
        <v>149</v>
      </c>
      <c r="E20" s="51" t="s">
        <v>150</v>
      </c>
      <c r="G20" s="49"/>
      <c r="H20" s="308"/>
      <c r="I20" s="308"/>
      <c r="J20" s="308"/>
      <c r="K20" s="308"/>
      <c r="L20" s="308"/>
      <c r="M20" s="308"/>
      <c r="N20" s="308"/>
      <c r="O20" s="308"/>
    </row>
    <row r="21" spans="1:15" ht="31.5" customHeight="1">
      <c r="A21" s="53" t="s">
        <v>14</v>
      </c>
      <c r="B21" s="53" t="s">
        <v>15</v>
      </c>
      <c r="C21" s="53" t="s">
        <v>16</v>
      </c>
      <c r="D21" s="53" t="s">
        <v>17</v>
      </c>
      <c r="E21" s="53" t="s">
        <v>18</v>
      </c>
      <c r="G21" s="49"/>
      <c r="H21" s="308"/>
      <c r="I21" s="308"/>
      <c r="J21" s="308"/>
      <c r="K21" s="308"/>
      <c r="L21" s="308"/>
      <c r="M21" s="308"/>
      <c r="N21" s="308"/>
      <c r="O21" s="308"/>
    </row>
    <row r="22" spans="1:15" ht="51" customHeight="1">
      <c r="A22" s="106" t="s">
        <v>114</v>
      </c>
      <c r="B22" s="107" t="s">
        <v>113</v>
      </c>
      <c r="C22" s="108" t="s">
        <v>111</v>
      </c>
      <c r="D22" s="109" t="s">
        <v>112</v>
      </c>
      <c r="E22" s="110" t="s">
        <v>115</v>
      </c>
      <c r="G22" s="49"/>
      <c r="H22" s="308"/>
      <c r="I22" s="308"/>
      <c r="J22" s="308"/>
      <c r="K22" s="308"/>
      <c r="L22" s="308"/>
      <c r="M22" s="308"/>
      <c r="N22" s="308"/>
      <c r="O22" s="308"/>
    </row>
    <row r="23" spans="1:15" ht="21" customHeight="1">
      <c r="A23" s="106">
        <v>346737.6</v>
      </c>
      <c r="B23" s="107">
        <v>451717</v>
      </c>
      <c r="C23" s="108">
        <v>608097.6</v>
      </c>
      <c r="D23" s="109">
        <v>976615</v>
      </c>
      <c r="E23" s="110">
        <v>1855656</v>
      </c>
      <c r="G23" s="49"/>
      <c r="H23" s="305" t="s">
        <v>152</v>
      </c>
      <c r="I23" s="306"/>
      <c r="J23" s="306"/>
      <c r="K23" s="306"/>
      <c r="L23" s="306"/>
      <c r="M23" s="306"/>
      <c r="N23" s="306"/>
      <c r="O23" s="307"/>
    </row>
    <row r="24" spans="1:15" ht="18.75">
      <c r="A24" s="309"/>
      <c r="B24" s="309"/>
      <c r="C24" s="309"/>
      <c r="D24" s="309"/>
      <c r="E24" s="309"/>
      <c r="F24" s="309"/>
      <c r="G24" s="49"/>
      <c r="H24" s="310" t="s">
        <v>226</v>
      </c>
      <c r="I24" s="310"/>
      <c r="J24" s="310"/>
      <c r="K24" s="310"/>
      <c r="L24" s="310"/>
      <c r="M24" s="310"/>
      <c r="N24" s="310"/>
      <c r="O24" s="311"/>
    </row>
    <row r="25" spans="1:15" ht="75.75" thickBot="1">
      <c r="A25" s="45" t="s">
        <v>250</v>
      </c>
      <c r="B25" s="45" t="s">
        <v>82</v>
      </c>
      <c r="C25" s="66" t="s">
        <v>81</v>
      </c>
      <c r="D25" s="66" t="s">
        <v>79</v>
      </c>
      <c r="E25" s="66" t="s">
        <v>80</v>
      </c>
      <c r="F25" s="111" t="s">
        <v>151</v>
      </c>
      <c r="G25" s="81"/>
      <c r="H25" s="98" t="s">
        <v>116</v>
      </c>
      <c r="I25" s="66" t="s">
        <v>8</v>
      </c>
      <c r="J25" s="66" t="s">
        <v>83</v>
      </c>
      <c r="K25" s="66" t="s">
        <v>161</v>
      </c>
      <c r="L25" s="66" t="s">
        <v>231</v>
      </c>
      <c r="M25" s="66" t="s">
        <v>232</v>
      </c>
      <c r="N25" s="66" t="s">
        <v>233</v>
      </c>
      <c r="O25" s="66" t="s">
        <v>234</v>
      </c>
    </row>
    <row r="26" spans="1:15" ht="38.1" customHeight="1" thickBot="1">
      <c r="A26" s="217" t="str">
        <f>'Summary Data'!$D$1</f>
        <v>2020-2021</v>
      </c>
      <c r="B26" s="218" t="str">
        <f>'Summary Data'!$A$1</f>
        <v>District Operations Center</v>
      </c>
      <c r="C26" s="219">
        <f>'Summary Data'!$E$7</f>
        <v>97676</v>
      </c>
      <c r="D26" s="220">
        <f>'Summary Data'!$E$11</f>
        <v>0</v>
      </c>
      <c r="E26" s="219" t="str">
        <f>IF(D26,C26/D26,"Unknown")</f>
        <v>Unknown</v>
      </c>
      <c r="F26" s="288" t="str">
        <f>IF(E26="Unknown","Unknown",IF(E26="Unknown","Unknown",IF(E26&gt;E23,"5",IF(E26&gt;D23,"4-5",IF(E26&gt;C23,"3-4",IF(E26&gt;B23,"2-3",IF(E26&gt;A23,"1-2",IF(E26&lt;A23,"1",0))))))))</f>
        <v>Unknown</v>
      </c>
      <c r="G26" s="112"/>
      <c r="H26" s="271">
        <v>0</v>
      </c>
      <c r="I26" s="221">
        <f>SUM(D26+H26)</f>
        <v>0</v>
      </c>
      <c r="J26" s="219" t="str">
        <f>IF(I26,C26/I26,"Unknown")</f>
        <v>Unknown</v>
      </c>
      <c r="K26" s="289" t="str">
        <f>IF(J26="Unknown","Unknown",IF(J26&gt;E23,"5",IF(J26&gt;D23,"4-5",IF(J26&gt;C23,"3-4",IF(J26&gt;B23,"2-3",IF(J26&gt;A23,"1-2",IF(J26&lt;A23,"1",0)))))))</f>
        <v>Unknown</v>
      </c>
      <c r="L26" s="222">
        <f>'Summary Data'!$E$18</f>
        <v>0</v>
      </c>
      <c r="M26" s="223">
        <f>SUM(L26/C26)</f>
        <v>0</v>
      </c>
      <c r="N26" s="284" t="str">
        <f>IF(J26="Unknown","Unknown",SUM(J26*H26*M26))</f>
        <v>Unknown</v>
      </c>
      <c r="O26" s="285" t="str">
        <f>IF(N26="Unknown","Unknown",SUM(L26+N26))</f>
        <v>Unknown</v>
      </c>
    </row>
    <row r="27" spans="1:15" ht="21" customHeight="1">
      <c r="A27" s="413" t="s">
        <v>248</v>
      </c>
      <c r="B27" s="413"/>
      <c r="C27" s="413"/>
      <c r="D27" s="413"/>
      <c r="E27" s="413"/>
      <c r="F27" s="413"/>
      <c r="G27" s="32"/>
      <c r="H27" s="32"/>
      <c r="I27" s="34"/>
      <c r="J27" s="33"/>
      <c r="K27" s="35"/>
      <c r="L27" s="36"/>
      <c r="M27" s="37"/>
      <c r="N27" s="36"/>
      <c r="O27" s="36"/>
    </row>
    <row r="28" spans="1:15" ht="18.75">
      <c r="G28"/>
      <c r="J28" s="8"/>
    </row>
    <row r="29" spans="1:15">
      <c r="G29"/>
    </row>
    <row r="30" spans="1:15">
      <c r="G30"/>
    </row>
    <row r="31" spans="1:15">
      <c r="G31"/>
    </row>
    <row r="32" spans="1:15">
      <c r="G32"/>
    </row>
    <row r="33" spans="7:7">
      <c r="G33"/>
    </row>
    <row r="34" spans="7:7">
      <c r="G34"/>
    </row>
    <row r="35" spans="7:7">
      <c r="G35"/>
    </row>
    <row r="36" spans="7:7">
      <c r="G36"/>
    </row>
    <row r="37" spans="7:7">
      <c r="G37"/>
    </row>
    <row r="38" spans="7:7">
      <c r="G38"/>
    </row>
    <row r="39" spans="7:7">
      <c r="G39"/>
    </row>
    <row r="40" spans="7:7">
      <c r="G40"/>
    </row>
    <row r="41" spans="7:7">
      <c r="G41"/>
    </row>
    <row r="42" spans="7:7">
      <c r="G42"/>
    </row>
    <row r="43" spans="7:7">
      <c r="G43"/>
    </row>
    <row r="44" spans="7:7">
      <c r="G44"/>
    </row>
    <row r="45" spans="7:7">
      <c r="G45"/>
    </row>
    <row r="46" spans="7:7">
      <c r="G46"/>
    </row>
    <row r="47" spans="7:7">
      <c r="G47"/>
    </row>
    <row r="48" spans="7:7">
      <c r="G48"/>
    </row>
    <row r="49" spans="7:7">
      <c r="G49"/>
    </row>
    <row r="50" spans="7:7">
      <c r="G50"/>
    </row>
    <row r="51" spans="7:7">
      <c r="G51"/>
    </row>
    <row r="52" spans="7:7">
      <c r="G52"/>
    </row>
    <row r="53" spans="7:7">
      <c r="G53"/>
    </row>
    <row r="54" spans="7:7">
      <c r="G54"/>
    </row>
    <row r="55" spans="7:7">
      <c r="G55"/>
    </row>
    <row r="56" spans="7:7">
      <c r="G56"/>
    </row>
    <row r="57" spans="7:7">
      <c r="G57"/>
    </row>
    <row r="58" spans="7:7">
      <c r="G58"/>
    </row>
    <row r="59" spans="7:7">
      <c r="G59"/>
    </row>
    <row r="60" spans="7:7">
      <c r="G60"/>
    </row>
    <row r="61" spans="7:7">
      <c r="G61"/>
    </row>
    <row r="62" spans="7:7">
      <c r="G62"/>
    </row>
    <row r="63" spans="7:7">
      <c r="G63"/>
    </row>
    <row r="64" spans="7:7">
      <c r="G64"/>
    </row>
    <row r="65" spans="7:7">
      <c r="G65"/>
    </row>
    <row r="66" spans="7:7">
      <c r="G66"/>
    </row>
    <row r="67" spans="7:7">
      <c r="G67"/>
    </row>
    <row r="68" spans="7:7">
      <c r="G68"/>
    </row>
    <row r="69" spans="7:7">
      <c r="G69"/>
    </row>
    <row r="70" spans="7:7">
      <c r="G70"/>
    </row>
    <row r="71" spans="7:7">
      <c r="G71"/>
    </row>
    <row r="72" spans="7:7">
      <c r="G72"/>
    </row>
    <row r="73" spans="7:7">
      <c r="G73"/>
    </row>
    <row r="74" spans="7:7">
      <c r="G74"/>
    </row>
    <row r="75" spans="7:7">
      <c r="G75"/>
    </row>
    <row r="76" spans="7:7">
      <c r="G76"/>
    </row>
    <row r="77" spans="7:7">
      <c r="G77"/>
    </row>
    <row r="78" spans="7:7">
      <c r="G78"/>
    </row>
    <row r="79" spans="7:7">
      <c r="G79"/>
    </row>
    <row r="80" spans="7:7">
      <c r="G80"/>
    </row>
    <row r="81" spans="7:7">
      <c r="G81"/>
    </row>
    <row r="82" spans="7:7">
      <c r="G82"/>
    </row>
    <row r="83" spans="7:7">
      <c r="G83"/>
    </row>
    <row r="84" spans="7:7">
      <c r="G84"/>
    </row>
    <row r="85" spans="7:7">
      <c r="G85"/>
    </row>
    <row r="86" spans="7:7">
      <c r="G86"/>
    </row>
    <row r="87" spans="7:7">
      <c r="G87"/>
    </row>
    <row r="88" spans="7:7">
      <c r="G88"/>
    </row>
    <row r="89" spans="7:7">
      <c r="G89"/>
    </row>
    <row r="90" spans="7:7">
      <c r="G90"/>
    </row>
    <row r="91" spans="7:7">
      <c r="G91"/>
    </row>
    <row r="92" spans="7:7">
      <c r="G92"/>
    </row>
    <row r="93" spans="7:7">
      <c r="G93"/>
    </row>
    <row r="94" spans="7:7">
      <c r="G94"/>
    </row>
    <row r="95" spans="7:7">
      <c r="G95"/>
    </row>
    <row r="96" spans="7:7">
      <c r="G96"/>
    </row>
    <row r="97" spans="7:7">
      <c r="G97"/>
    </row>
    <row r="98" spans="7:7">
      <c r="G98"/>
    </row>
    <row r="99" spans="7:7">
      <c r="G99"/>
    </row>
    <row r="100" spans="7:7">
      <c r="G100"/>
    </row>
    <row r="101" spans="7:7">
      <c r="G101"/>
    </row>
    <row r="102" spans="7:7">
      <c r="G102"/>
    </row>
    <row r="103" spans="7:7">
      <c r="G103"/>
    </row>
    <row r="104" spans="7:7">
      <c r="G104"/>
    </row>
    <row r="105" spans="7:7">
      <c r="G105"/>
    </row>
    <row r="106" spans="7:7">
      <c r="G106"/>
    </row>
    <row r="107" spans="7:7">
      <c r="G107"/>
    </row>
    <row r="108" spans="7:7">
      <c r="G108"/>
    </row>
    <row r="109" spans="7:7">
      <c r="G109"/>
    </row>
    <row r="110" spans="7:7">
      <c r="G110"/>
    </row>
    <row r="111" spans="7:7">
      <c r="G111"/>
    </row>
    <row r="112" spans="7:7">
      <c r="G112"/>
    </row>
    <row r="113" spans="7:7">
      <c r="G113"/>
    </row>
    <row r="114" spans="7:7">
      <c r="G114"/>
    </row>
    <row r="115" spans="7:7">
      <c r="G115"/>
    </row>
    <row r="116" spans="7:7">
      <c r="G116"/>
    </row>
    <row r="117" spans="7:7">
      <c r="G117"/>
    </row>
    <row r="118" spans="7:7">
      <c r="G118"/>
    </row>
    <row r="119" spans="7:7">
      <c r="G119"/>
    </row>
    <row r="120" spans="7:7">
      <c r="G120"/>
    </row>
    <row r="121" spans="7:7">
      <c r="G121"/>
    </row>
    <row r="122" spans="7:7">
      <c r="G122"/>
    </row>
    <row r="123" spans="7:7">
      <c r="G123"/>
    </row>
    <row r="124" spans="7:7">
      <c r="G124"/>
    </row>
    <row r="125" spans="7:7">
      <c r="G125"/>
    </row>
    <row r="126" spans="7:7">
      <c r="G126"/>
    </row>
    <row r="127" spans="7:7">
      <c r="G127"/>
    </row>
    <row r="128" spans="7:7">
      <c r="G128"/>
    </row>
    <row r="129" spans="7:7">
      <c r="G129"/>
    </row>
    <row r="130" spans="7:7">
      <c r="G130"/>
    </row>
    <row r="131" spans="7:7">
      <c r="G131"/>
    </row>
    <row r="132" spans="7:7">
      <c r="G132"/>
    </row>
    <row r="133" spans="7:7">
      <c r="G133"/>
    </row>
    <row r="134" spans="7:7">
      <c r="G134"/>
    </row>
    <row r="135" spans="7:7">
      <c r="G135"/>
    </row>
    <row r="136" spans="7:7">
      <c r="G136"/>
    </row>
    <row r="137" spans="7:7">
      <c r="G137"/>
    </row>
    <row r="138" spans="7:7">
      <c r="G138"/>
    </row>
    <row r="139" spans="7:7">
      <c r="G139"/>
    </row>
    <row r="140" spans="7:7">
      <c r="G140"/>
    </row>
    <row r="141" spans="7:7">
      <c r="G141"/>
    </row>
    <row r="142" spans="7:7">
      <c r="G142"/>
    </row>
    <row r="143" spans="7:7">
      <c r="G143"/>
    </row>
    <row r="144" spans="7:7">
      <c r="G144"/>
    </row>
    <row r="145" spans="7:7">
      <c r="G145"/>
    </row>
    <row r="146" spans="7:7">
      <c r="G146"/>
    </row>
    <row r="147" spans="7:7">
      <c r="G147"/>
    </row>
    <row r="148" spans="7:7">
      <c r="G148"/>
    </row>
    <row r="149" spans="7:7">
      <c r="G149"/>
    </row>
    <row r="150" spans="7:7">
      <c r="G150"/>
    </row>
    <row r="151" spans="7:7">
      <c r="G151"/>
    </row>
    <row r="152" spans="7:7">
      <c r="G152"/>
    </row>
    <row r="153" spans="7:7">
      <c r="G153"/>
    </row>
    <row r="154" spans="7:7">
      <c r="G154"/>
    </row>
    <row r="155" spans="7:7">
      <c r="G155"/>
    </row>
    <row r="156" spans="7:7">
      <c r="G156"/>
    </row>
    <row r="157" spans="7:7">
      <c r="G157"/>
    </row>
    <row r="158" spans="7:7">
      <c r="G158"/>
    </row>
    <row r="159" spans="7:7">
      <c r="G159"/>
    </row>
    <row r="160" spans="7:7">
      <c r="G160"/>
    </row>
    <row r="161" spans="7:7">
      <c r="G161"/>
    </row>
    <row r="162" spans="7:7">
      <c r="G162"/>
    </row>
    <row r="163" spans="7:7">
      <c r="G163"/>
    </row>
    <row r="164" spans="7:7">
      <c r="G164"/>
    </row>
    <row r="165" spans="7:7">
      <c r="G165"/>
    </row>
    <row r="166" spans="7:7">
      <c r="G166"/>
    </row>
    <row r="167" spans="7:7">
      <c r="G167"/>
    </row>
    <row r="168" spans="7:7">
      <c r="G168"/>
    </row>
    <row r="169" spans="7:7">
      <c r="G169"/>
    </row>
    <row r="170" spans="7:7">
      <c r="G170"/>
    </row>
    <row r="171" spans="7:7">
      <c r="G171"/>
    </row>
    <row r="172" spans="7:7">
      <c r="G172"/>
    </row>
    <row r="173" spans="7:7">
      <c r="G173"/>
    </row>
    <row r="174" spans="7:7">
      <c r="G174"/>
    </row>
    <row r="175" spans="7:7">
      <c r="G175"/>
    </row>
    <row r="176" spans="7:7">
      <c r="G176"/>
    </row>
    <row r="177" spans="7:7">
      <c r="G177"/>
    </row>
    <row r="178" spans="7:7">
      <c r="G178"/>
    </row>
    <row r="179" spans="7:7">
      <c r="G179"/>
    </row>
    <row r="180" spans="7:7">
      <c r="G180"/>
    </row>
    <row r="181" spans="7:7">
      <c r="G181"/>
    </row>
    <row r="182" spans="7:7">
      <c r="G182"/>
    </row>
    <row r="183" spans="7:7">
      <c r="G183"/>
    </row>
    <row r="184" spans="7:7">
      <c r="G184"/>
    </row>
    <row r="185" spans="7:7">
      <c r="G185"/>
    </row>
    <row r="186" spans="7:7">
      <c r="G186"/>
    </row>
    <row r="187" spans="7:7">
      <c r="G187"/>
    </row>
    <row r="188" spans="7:7">
      <c r="G188"/>
    </row>
    <row r="189" spans="7:7">
      <c r="G189"/>
    </row>
    <row r="190" spans="7:7">
      <c r="G190"/>
    </row>
    <row r="191" spans="7:7">
      <c r="G191"/>
    </row>
    <row r="192" spans="7:7">
      <c r="G192"/>
    </row>
    <row r="193" spans="7:7">
      <c r="G193"/>
    </row>
    <row r="194" spans="7:7">
      <c r="G194"/>
    </row>
  </sheetData>
  <sheetProtection algorithmName="SHA-512" hashValue="IERNquSTHYn+of8Axe2qXXBHxOemhpVPdyoBdcJ1iGH4r6KJzA3dLs71Vo0Ph5ezezXUVjlmnaZ23bHu723p2Q==" saltValue="64O/L4t4YiTMkQia2+hIEQ==" spinCount="100000" sheet="1" objects="1" scenarios="1"/>
  <mergeCells count="15">
    <mergeCell ref="A27:F27"/>
    <mergeCell ref="H23:O23"/>
    <mergeCell ref="H19:O22"/>
    <mergeCell ref="A24:F24"/>
    <mergeCell ref="H24:O24"/>
    <mergeCell ref="A1:O1"/>
    <mergeCell ref="A11:F11"/>
    <mergeCell ref="A2:F2"/>
    <mergeCell ref="H15:O15"/>
    <mergeCell ref="A19:F19"/>
    <mergeCell ref="H6:O6"/>
    <mergeCell ref="H5:O5"/>
    <mergeCell ref="H2:O4"/>
    <mergeCell ref="H11:O13"/>
    <mergeCell ref="H14:O14"/>
  </mergeCells>
  <pageMargins left="0.25" right="0.25" top="0.75" bottom="0.75" header="0.3" footer="0.3"/>
  <pageSetup scale="5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FC4492-04A5-487A-8AEC-43A0A0961791}">
  <sheetPr codeName="Sheet3">
    <pageSetUpPr fitToPage="1"/>
  </sheetPr>
  <dimension ref="B1:R39"/>
  <sheetViews>
    <sheetView zoomScale="85" zoomScaleNormal="85" workbookViewId="0">
      <selection activeCell="E25" sqref="E25"/>
    </sheetView>
  </sheetViews>
  <sheetFormatPr defaultRowHeight="15"/>
  <cols>
    <col min="1" max="1" width="2" customWidth="1"/>
    <col min="2" max="2" width="28.140625" customWidth="1"/>
    <col min="3" max="3" width="24.140625" customWidth="1"/>
    <col min="4" max="15" width="16.7109375" customWidth="1"/>
    <col min="17" max="17" width="13.28515625" customWidth="1"/>
  </cols>
  <sheetData>
    <row r="1" spans="2:18" ht="26.25">
      <c r="B1" s="348" t="s">
        <v>133</v>
      </c>
      <c r="C1" s="348"/>
      <c r="D1" s="348"/>
      <c r="E1" s="348"/>
      <c r="F1" s="348"/>
      <c r="G1" s="348"/>
      <c r="H1" s="348"/>
      <c r="I1" s="348"/>
      <c r="J1" s="348"/>
      <c r="K1" s="348"/>
      <c r="L1" s="348"/>
      <c r="M1" s="348"/>
      <c r="N1" s="348"/>
      <c r="O1" s="348"/>
    </row>
    <row r="2" spans="2:18" ht="26.25">
      <c r="B2" s="348" t="s">
        <v>236</v>
      </c>
      <c r="C2" s="348"/>
      <c r="D2" s="348"/>
      <c r="E2" s="348"/>
      <c r="F2" s="348"/>
      <c r="G2" s="348"/>
      <c r="H2" s="348"/>
      <c r="I2" s="348"/>
      <c r="J2" s="348"/>
      <c r="K2" s="348"/>
      <c r="L2" s="348"/>
      <c r="M2" s="348"/>
      <c r="N2" s="348"/>
      <c r="O2" s="348"/>
    </row>
    <row r="3" spans="2:18" ht="15.75" thickBot="1">
      <c r="B3" s="121"/>
    </row>
    <row r="4" spans="2:18" ht="16.5" thickBot="1">
      <c r="B4" s="122" t="s">
        <v>63</v>
      </c>
      <c r="C4" s="123" t="s">
        <v>205</v>
      </c>
      <c r="D4" s="42"/>
      <c r="F4" s="122" t="s">
        <v>64</v>
      </c>
      <c r="G4" s="352" t="str">
        <f>IFERROR(VLOOKUP($O$4,'Campuswide Expenses'!B7:N7,2,0),"")</f>
        <v>District Operations Center</v>
      </c>
      <c r="H4" s="352"/>
      <c r="I4" s="352"/>
      <c r="J4" s="124" t="s">
        <v>136</v>
      </c>
      <c r="K4" s="125">
        <f>IFERROR(VLOOKUP($O$4,'Campuswide Expenses'!F7:'Campuswide Expenses'!B7:D7,3,0),"")</f>
        <v>1969</v>
      </c>
      <c r="L4" s="124"/>
      <c r="O4" s="48" t="s">
        <v>204</v>
      </c>
      <c r="Q4" s="31"/>
    </row>
    <row r="5" spans="2:18" ht="15.75">
      <c r="B5" s="122"/>
      <c r="C5" s="126"/>
      <c r="Q5" s="31"/>
    </row>
    <row r="6" spans="2:18" ht="16.5" thickBot="1">
      <c r="B6" s="121"/>
      <c r="E6" s="127"/>
      <c r="F6" s="128"/>
      <c r="G6" s="128"/>
      <c r="I6" s="128"/>
      <c r="J6" s="128"/>
      <c r="K6" s="128"/>
      <c r="L6" s="128"/>
      <c r="M6" s="128"/>
      <c r="N6" s="128"/>
      <c r="O6" s="128"/>
      <c r="Q6" s="31"/>
    </row>
    <row r="7" spans="2:18" ht="16.5" customHeight="1" thickBot="1">
      <c r="B7" s="358" t="s">
        <v>85</v>
      </c>
      <c r="C7" s="359"/>
      <c r="D7" s="187">
        <f>'Summary Data'!$E$3</f>
        <v>54784</v>
      </c>
      <c r="E7" s="129"/>
      <c r="F7" s="130" t="s">
        <v>251</v>
      </c>
      <c r="G7" s="366" t="str">
        <f>'Summary Data'!$D$1</f>
        <v>2020-2021</v>
      </c>
      <c r="H7" s="367"/>
      <c r="I7" s="131"/>
      <c r="J7" s="356" t="s">
        <v>65</v>
      </c>
      <c r="K7" s="357"/>
      <c r="L7" s="357"/>
      <c r="M7" s="363" t="s">
        <v>145</v>
      </c>
      <c r="N7" s="364"/>
      <c r="O7" s="365"/>
      <c r="Q7" s="31"/>
    </row>
    <row r="8" spans="2:18" ht="17.25" customHeight="1" thickBot="1">
      <c r="B8" s="349" t="s">
        <v>135</v>
      </c>
      <c r="C8" s="350"/>
      <c r="D8" s="188">
        <f>IFERROR(VLOOKUP($O$4,'Campuswide Expenses'!B6:N7,5,0),"")</f>
        <v>54784</v>
      </c>
      <c r="E8" s="129"/>
      <c r="F8" s="132" t="s">
        <v>66</v>
      </c>
      <c r="G8" s="132" t="s">
        <v>67</v>
      </c>
      <c r="H8" s="205">
        <f>'Summary Data'!$E$35</f>
        <v>2.6994377920560746</v>
      </c>
      <c r="I8" s="133"/>
      <c r="J8" s="353" t="s">
        <v>137</v>
      </c>
      <c r="K8" s="354"/>
      <c r="L8" s="354"/>
      <c r="M8" s="354"/>
      <c r="N8" s="354"/>
      <c r="O8" s="355"/>
      <c r="Q8" s="31"/>
    </row>
    <row r="9" spans="2:18" ht="18" customHeight="1" thickBot="1">
      <c r="B9" s="349" t="s">
        <v>142</v>
      </c>
      <c r="C9" s="350"/>
      <c r="D9" s="134">
        <v>0.04</v>
      </c>
      <c r="E9" s="128"/>
      <c r="F9" s="135" t="s">
        <v>68</v>
      </c>
      <c r="G9" s="136" t="s">
        <v>67</v>
      </c>
      <c r="H9" s="206">
        <f>'Summary Data'!$E$32</f>
        <v>0.18408659462616822</v>
      </c>
      <c r="I9" s="133"/>
      <c r="J9" s="351" t="s">
        <v>69</v>
      </c>
      <c r="K9" s="351"/>
      <c r="L9" s="208">
        <f>'Summary Data'!$H$9</f>
        <v>2.5</v>
      </c>
      <c r="M9" s="351" t="s">
        <v>70</v>
      </c>
      <c r="N9" s="351"/>
      <c r="O9" s="211">
        <f>IF(L9,D7/L9,0)</f>
        <v>21913.599999999999</v>
      </c>
      <c r="Q9" s="31"/>
    </row>
    <row r="10" spans="2:18" ht="16.5" customHeight="1" thickBot="1">
      <c r="B10" s="137" t="s">
        <v>118</v>
      </c>
      <c r="C10" s="138"/>
      <c r="D10" s="134">
        <v>0.03</v>
      </c>
      <c r="E10" s="128"/>
      <c r="F10" s="135" t="s">
        <v>168</v>
      </c>
      <c r="G10" s="136" t="s">
        <v>71</v>
      </c>
      <c r="H10" s="206">
        <f>'Summary Data'!$E$29</f>
        <v>6.5564738292011024E-2</v>
      </c>
      <c r="I10" s="133"/>
      <c r="J10" s="351" t="s">
        <v>72</v>
      </c>
      <c r="K10" s="351"/>
      <c r="L10" s="208">
        <f>'Summary Data'!$H$10</f>
        <v>0</v>
      </c>
      <c r="M10" s="351" t="s">
        <v>165</v>
      </c>
      <c r="N10" s="351"/>
      <c r="O10" s="290">
        <f>IF(L10,D7/L10,0)</f>
        <v>0</v>
      </c>
      <c r="Q10" s="31"/>
    </row>
    <row r="11" spans="2:18" ht="16.5" customHeight="1" thickBot="1">
      <c r="B11" s="373" t="s">
        <v>119</v>
      </c>
      <c r="C11" s="374"/>
      <c r="D11" s="139">
        <v>0.03</v>
      </c>
      <c r="E11" s="128"/>
      <c r="F11" s="135" t="s">
        <v>73</v>
      </c>
      <c r="G11" s="136" t="s">
        <v>67</v>
      </c>
      <c r="H11" s="207">
        <f>'Summary Data'!$H$26</f>
        <v>7.2910886390186915</v>
      </c>
      <c r="I11" s="133"/>
      <c r="J11" s="351" t="s">
        <v>164</v>
      </c>
      <c r="K11" s="351"/>
      <c r="L11" s="209" t="str">
        <f>'Staffing Expenses'!$K$9</f>
        <v>2-3</v>
      </c>
      <c r="M11" s="376" t="s">
        <v>170</v>
      </c>
      <c r="N11" s="377"/>
      <c r="O11" s="377"/>
      <c r="Q11" s="31"/>
    </row>
    <row r="12" spans="2:18" ht="16.5" customHeight="1" thickBot="1">
      <c r="B12" s="140"/>
      <c r="C12" s="140"/>
      <c r="D12" s="141"/>
      <c r="E12" s="128"/>
      <c r="F12" s="142" t="s">
        <v>74</v>
      </c>
      <c r="G12" s="136" t="s">
        <v>67</v>
      </c>
      <c r="H12" s="207">
        <f>'Summary Data'!$F$41</f>
        <v>3.3087215245327104</v>
      </c>
      <c r="J12" s="351" t="s">
        <v>163</v>
      </c>
      <c r="K12" s="351"/>
      <c r="L12" s="209" t="str">
        <f>'Staffing Expenses'!$K$17</f>
        <v>Unknown</v>
      </c>
      <c r="M12" s="376" t="s">
        <v>169</v>
      </c>
      <c r="N12" s="377"/>
      <c r="O12" s="377"/>
      <c r="Q12" s="31"/>
      <c r="R12" t="s">
        <v>38</v>
      </c>
    </row>
    <row r="13" spans="2:18" ht="16.5" customHeight="1" thickBot="1">
      <c r="B13" s="140"/>
      <c r="C13" s="140"/>
      <c r="D13" s="141"/>
      <c r="E13" s="128"/>
      <c r="F13" s="138"/>
      <c r="G13" s="143"/>
      <c r="H13" s="144"/>
      <c r="I13" s="144"/>
      <c r="J13" s="375" t="s">
        <v>75</v>
      </c>
      <c r="K13" s="375"/>
      <c r="L13" s="210">
        <f>IF(O9,D8/O9,0)</f>
        <v>2.5</v>
      </c>
      <c r="M13" s="339" t="s">
        <v>76</v>
      </c>
      <c r="N13" s="340"/>
      <c r="O13" s="341"/>
      <c r="Q13" s="31"/>
    </row>
    <row r="14" spans="2:18" ht="16.5" thickBot="1">
      <c r="B14" s="140"/>
      <c r="C14" s="140"/>
      <c r="D14" s="141"/>
      <c r="E14" s="128"/>
      <c r="H14" s="145"/>
      <c r="I14" s="145"/>
      <c r="J14" s="337" t="s">
        <v>77</v>
      </c>
      <c r="K14" s="338"/>
      <c r="L14" s="210">
        <f>IF(O10,D8/O10,0)</f>
        <v>0</v>
      </c>
      <c r="M14" s="339" t="s">
        <v>76</v>
      </c>
      <c r="N14" s="340"/>
      <c r="O14" s="341"/>
      <c r="Q14" s="31"/>
    </row>
    <row r="15" spans="2:18" ht="16.5" thickBot="1">
      <c r="B15" s="342"/>
      <c r="C15" s="342"/>
      <c r="D15" s="128"/>
      <c r="E15" s="128"/>
      <c r="F15" s="128"/>
      <c r="G15" s="128"/>
      <c r="H15" s="128"/>
      <c r="I15" s="128"/>
      <c r="J15" s="128"/>
      <c r="K15" s="128"/>
      <c r="L15" s="128"/>
      <c r="M15" s="128"/>
      <c r="N15" s="128"/>
      <c r="O15" s="128"/>
      <c r="Q15" s="31"/>
    </row>
    <row r="16" spans="2:18" ht="31.5" customHeight="1" thickBot="1">
      <c r="B16" s="343"/>
      <c r="C16" s="344"/>
      <c r="D16" s="146" t="s">
        <v>251</v>
      </c>
      <c r="E16" s="370"/>
      <c r="F16" s="371"/>
      <c r="G16" s="371"/>
      <c r="H16" s="371"/>
      <c r="I16" s="371"/>
      <c r="J16" s="371"/>
      <c r="K16" s="371"/>
      <c r="L16" s="371"/>
      <c r="M16" s="371"/>
      <c r="N16" s="371"/>
      <c r="O16" s="368" t="s">
        <v>171</v>
      </c>
      <c r="Q16" s="31"/>
    </row>
    <row r="17" spans="2:17" ht="24.75" customHeight="1" thickBot="1">
      <c r="B17" s="345" t="s">
        <v>239</v>
      </c>
      <c r="C17" s="346"/>
      <c r="D17" s="147"/>
      <c r="E17" s="147" t="s">
        <v>124</v>
      </c>
      <c r="F17" s="147" t="s">
        <v>125</v>
      </c>
      <c r="G17" s="147" t="s">
        <v>126</v>
      </c>
      <c r="H17" s="147" t="s">
        <v>127</v>
      </c>
      <c r="I17" s="147" t="s">
        <v>128</v>
      </c>
      <c r="J17" s="147" t="s">
        <v>129</v>
      </c>
      <c r="K17" s="147" t="s">
        <v>130</v>
      </c>
      <c r="L17" s="147" t="s">
        <v>131</v>
      </c>
      <c r="M17" s="147" t="s">
        <v>132</v>
      </c>
      <c r="N17" s="148" t="s">
        <v>134</v>
      </c>
      <c r="O17" s="369"/>
      <c r="P17" s="31"/>
    </row>
    <row r="18" spans="2:17" ht="31.5" hidden="1" customHeight="1" thickBot="1">
      <c r="B18" s="372" t="s">
        <v>123</v>
      </c>
      <c r="C18" s="372"/>
      <c r="D18" s="149" t="str">
        <f>IFERROR(VLOOKUP($O$4,'Campuswide Expenses'!B7:N7,13,0),"")</f>
        <v/>
      </c>
      <c r="E18" s="150" t="e">
        <f>D18*(1+#REF!)</f>
        <v>#VALUE!</v>
      </c>
      <c r="F18" s="150" t="e">
        <f>E18*(1+#REF!)</f>
        <v>#VALUE!</v>
      </c>
      <c r="G18" s="150" t="e">
        <f>F18*(1+#REF!)</f>
        <v>#VALUE!</v>
      </c>
      <c r="H18" s="150" t="e">
        <f>G18*(1+#REF!)</f>
        <v>#VALUE!</v>
      </c>
      <c r="I18" s="150" t="e">
        <f>H18*(1+#REF!)</f>
        <v>#VALUE!</v>
      </c>
      <c r="J18" s="150" t="e">
        <f>I18*(1+#REF!)</f>
        <v>#VALUE!</v>
      </c>
      <c r="K18" s="150" t="e">
        <f>J18*(1+#REF!)</f>
        <v>#VALUE!</v>
      </c>
      <c r="L18" s="150" t="e">
        <f>K18*(1+#REF!)</f>
        <v>#VALUE!</v>
      </c>
      <c r="M18" s="150" t="e">
        <f>L18*(1+#REF!)</f>
        <v>#VALUE!</v>
      </c>
      <c r="N18" s="151" t="e">
        <f>M18*(1+#REF!)</f>
        <v>#VALUE!</v>
      </c>
      <c r="O18" s="152"/>
      <c r="P18" s="31"/>
    </row>
    <row r="19" spans="2:17" ht="23.25" hidden="1" customHeight="1" thickBot="1">
      <c r="B19" s="347" t="s">
        <v>121</v>
      </c>
      <c r="C19" s="347"/>
      <c r="D19" s="153">
        <f>IFERROR(VLOOKUP($O$4,'Campuswide Expenses'!B7:P7,15,0),"")</f>
        <v>80</v>
      </c>
      <c r="E19" s="153">
        <f>(D19)</f>
        <v>80</v>
      </c>
      <c r="F19" s="153">
        <f>(E19)</f>
        <v>80</v>
      </c>
      <c r="G19" s="153">
        <f t="shared" ref="G19:N19" si="0">(F19)</f>
        <v>80</v>
      </c>
      <c r="H19" s="153">
        <f t="shared" si="0"/>
        <v>80</v>
      </c>
      <c r="I19" s="153">
        <f t="shared" si="0"/>
        <v>80</v>
      </c>
      <c r="J19" s="153">
        <f t="shared" si="0"/>
        <v>80</v>
      </c>
      <c r="K19" s="153">
        <f t="shared" si="0"/>
        <v>80</v>
      </c>
      <c r="L19" s="153">
        <f t="shared" si="0"/>
        <v>80</v>
      </c>
      <c r="M19" s="153">
        <f t="shared" si="0"/>
        <v>80</v>
      </c>
      <c r="N19" s="154">
        <f t="shared" si="0"/>
        <v>80</v>
      </c>
      <c r="O19" s="152"/>
      <c r="P19" s="31"/>
    </row>
    <row r="20" spans="2:17" ht="23.25" hidden="1" customHeight="1" thickBot="1">
      <c r="B20" s="332" t="s">
        <v>122</v>
      </c>
      <c r="C20" s="333"/>
      <c r="D20" s="155" t="e">
        <f>SUM(D18*D19)/100</f>
        <v>#VALUE!</v>
      </c>
      <c r="E20" s="155" t="e">
        <f t="shared" ref="E20:N20" si="1">SUM(E18*E19)/100</f>
        <v>#VALUE!</v>
      </c>
      <c r="F20" s="155" t="e">
        <f t="shared" si="1"/>
        <v>#VALUE!</v>
      </c>
      <c r="G20" s="155" t="e">
        <f t="shared" si="1"/>
        <v>#VALUE!</v>
      </c>
      <c r="H20" s="155" t="e">
        <f t="shared" si="1"/>
        <v>#VALUE!</v>
      </c>
      <c r="I20" s="155" t="e">
        <f t="shared" si="1"/>
        <v>#VALUE!</v>
      </c>
      <c r="J20" s="155" t="e">
        <f t="shared" si="1"/>
        <v>#VALUE!</v>
      </c>
      <c r="K20" s="155" t="e">
        <f t="shared" si="1"/>
        <v>#VALUE!</v>
      </c>
      <c r="L20" s="155" t="e">
        <f t="shared" si="1"/>
        <v>#VALUE!</v>
      </c>
      <c r="M20" s="155" t="e">
        <f t="shared" si="1"/>
        <v>#VALUE!</v>
      </c>
      <c r="N20" s="156" t="e">
        <f t="shared" si="1"/>
        <v>#VALUE!</v>
      </c>
      <c r="O20" s="152"/>
      <c r="P20" s="31"/>
    </row>
    <row r="21" spans="2:17" ht="24" hidden="1" customHeight="1" thickBot="1">
      <c r="B21" s="334" t="s">
        <v>92</v>
      </c>
      <c r="C21" s="335"/>
      <c r="D21" s="155" t="e">
        <f>(D18)-(D20)</f>
        <v>#VALUE!</v>
      </c>
      <c r="E21" s="155" t="e">
        <f t="shared" ref="E21:N21" si="2">(E18)-(E20)</f>
        <v>#VALUE!</v>
      </c>
      <c r="F21" s="155" t="e">
        <f t="shared" si="2"/>
        <v>#VALUE!</v>
      </c>
      <c r="G21" s="155" t="e">
        <f t="shared" si="2"/>
        <v>#VALUE!</v>
      </c>
      <c r="H21" s="155" t="e">
        <f t="shared" si="2"/>
        <v>#VALUE!</v>
      </c>
      <c r="I21" s="155" t="e">
        <f t="shared" si="2"/>
        <v>#VALUE!</v>
      </c>
      <c r="J21" s="155" t="e">
        <f t="shared" si="2"/>
        <v>#VALUE!</v>
      </c>
      <c r="K21" s="155" t="e">
        <f t="shared" si="2"/>
        <v>#VALUE!</v>
      </c>
      <c r="L21" s="155" t="e">
        <f t="shared" si="2"/>
        <v>#VALUE!</v>
      </c>
      <c r="M21" s="155" t="e">
        <f t="shared" si="2"/>
        <v>#VALUE!</v>
      </c>
      <c r="N21" s="156" t="e">
        <f t="shared" si="2"/>
        <v>#VALUE!</v>
      </c>
      <c r="O21" s="152"/>
      <c r="Q21" s="31"/>
    </row>
    <row r="22" spans="2:17" ht="16.5" thickBot="1">
      <c r="B22" s="334" t="s">
        <v>143</v>
      </c>
      <c r="C22" s="336"/>
      <c r="D22" s="189">
        <f>H8*D8</f>
        <v>147886</v>
      </c>
      <c r="E22" s="190">
        <f t="shared" ref="E22:N22" si="3">D22*(1+$D$9)</f>
        <v>153801.44</v>
      </c>
      <c r="F22" s="190">
        <f t="shared" si="3"/>
        <v>159953.4976</v>
      </c>
      <c r="G22" s="190">
        <f t="shared" si="3"/>
        <v>166351.63750400001</v>
      </c>
      <c r="H22" s="190">
        <f t="shared" si="3"/>
        <v>173005.70300416002</v>
      </c>
      <c r="I22" s="190">
        <f t="shared" si="3"/>
        <v>179925.93112432642</v>
      </c>
      <c r="J22" s="190">
        <f t="shared" si="3"/>
        <v>187122.96836929949</v>
      </c>
      <c r="K22" s="190">
        <f t="shared" si="3"/>
        <v>194607.88710407147</v>
      </c>
      <c r="L22" s="190">
        <f t="shared" si="3"/>
        <v>202392.20258823433</v>
      </c>
      <c r="M22" s="190">
        <f t="shared" si="3"/>
        <v>210487.89069176372</v>
      </c>
      <c r="N22" s="191">
        <f t="shared" si="3"/>
        <v>218907.40631943429</v>
      </c>
      <c r="O22" s="192">
        <f>SUM(E22:N22)</f>
        <v>1846556.5643052896</v>
      </c>
      <c r="Q22" s="31"/>
    </row>
    <row r="23" spans="2:17" ht="16.5" customHeight="1" thickBot="1">
      <c r="B23" s="334" t="s">
        <v>144</v>
      </c>
      <c r="C23" s="336"/>
      <c r="D23" s="193">
        <f>H9*D8</f>
        <v>10085</v>
      </c>
      <c r="E23" s="194">
        <f t="shared" ref="E23:N23" si="4">D23*(1+$D$9)</f>
        <v>10488.4</v>
      </c>
      <c r="F23" s="194">
        <f t="shared" si="4"/>
        <v>10907.936</v>
      </c>
      <c r="G23" s="194">
        <f t="shared" si="4"/>
        <v>11344.25344</v>
      </c>
      <c r="H23" s="194">
        <f t="shared" si="4"/>
        <v>11798.023577600001</v>
      </c>
      <c r="I23" s="194">
        <f t="shared" si="4"/>
        <v>12269.944520704001</v>
      </c>
      <c r="J23" s="194">
        <f t="shared" si="4"/>
        <v>12760.742301532162</v>
      </c>
      <c r="K23" s="194">
        <f t="shared" si="4"/>
        <v>13271.171993593449</v>
      </c>
      <c r="L23" s="194">
        <f t="shared" si="4"/>
        <v>13802.018873337187</v>
      </c>
      <c r="M23" s="194">
        <f t="shared" si="4"/>
        <v>14354.099628270675</v>
      </c>
      <c r="N23" s="195">
        <f t="shared" si="4"/>
        <v>14928.263613401503</v>
      </c>
      <c r="O23" s="192">
        <f>SUM(E23:N23)</f>
        <v>125924.85394843899</v>
      </c>
      <c r="Q23" s="31"/>
    </row>
    <row r="24" spans="2:17" ht="16.5" thickBot="1">
      <c r="B24" s="334" t="s">
        <v>141</v>
      </c>
      <c r="C24" s="336"/>
      <c r="D24" s="193">
        <f>H10*D8</f>
        <v>3591.8986225895319</v>
      </c>
      <c r="E24" s="194">
        <f t="shared" ref="E24:N24" si="5">D24*(1+$D$9)</f>
        <v>3735.5745674931131</v>
      </c>
      <c r="F24" s="194">
        <f t="shared" si="5"/>
        <v>3884.9975501928379</v>
      </c>
      <c r="G24" s="194">
        <f t="shared" si="5"/>
        <v>4040.3974522005515</v>
      </c>
      <c r="H24" s="194">
        <f t="shared" si="5"/>
        <v>4202.0133502885737</v>
      </c>
      <c r="I24" s="194">
        <f t="shared" si="5"/>
        <v>4370.0938843001168</v>
      </c>
      <c r="J24" s="194">
        <f t="shared" si="5"/>
        <v>4544.8976396721218</v>
      </c>
      <c r="K24" s="194">
        <f t="shared" si="5"/>
        <v>4726.6935452590069</v>
      </c>
      <c r="L24" s="194">
        <f t="shared" si="5"/>
        <v>4915.7612870693674</v>
      </c>
      <c r="M24" s="194">
        <f t="shared" si="5"/>
        <v>5112.3917385521427</v>
      </c>
      <c r="N24" s="195">
        <f t="shared" si="5"/>
        <v>5316.8874080942287</v>
      </c>
      <c r="O24" s="192">
        <f>SUM(E24:N24)</f>
        <v>44849.708423122058</v>
      </c>
      <c r="Q24" s="31"/>
    </row>
    <row r="25" spans="2:17" ht="16.5" thickBot="1">
      <c r="B25" s="334" t="s">
        <v>91</v>
      </c>
      <c r="C25" s="336"/>
      <c r="D25" s="196">
        <f>H11*D8</f>
        <v>399435</v>
      </c>
      <c r="E25" s="194">
        <f t="shared" ref="E25:N25" si="6">D25*(1+$D$10)</f>
        <v>411418.05</v>
      </c>
      <c r="F25" s="194">
        <f t="shared" si="6"/>
        <v>423760.59149999998</v>
      </c>
      <c r="G25" s="194">
        <f t="shared" si="6"/>
        <v>436473.40924499999</v>
      </c>
      <c r="H25" s="194">
        <f t="shared" si="6"/>
        <v>449567.61152234999</v>
      </c>
      <c r="I25" s="194">
        <f t="shared" si="6"/>
        <v>463054.63986802049</v>
      </c>
      <c r="J25" s="194">
        <f t="shared" si="6"/>
        <v>476946.27906406112</v>
      </c>
      <c r="K25" s="194">
        <f t="shared" si="6"/>
        <v>491254.66743598296</v>
      </c>
      <c r="L25" s="194">
        <f t="shared" si="6"/>
        <v>505992.30745906249</v>
      </c>
      <c r="M25" s="194">
        <f t="shared" si="6"/>
        <v>521172.07668283436</v>
      </c>
      <c r="N25" s="195">
        <f t="shared" si="6"/>
        <v>536807.23898331937</v>
      </c>
      <c r="O25" s="192">
        <f>SUM(E25:N25)</f>
        <v>4716446.87176063</v>
      </c>
      <c r="Q25" s="31"/>
    </row>
    <row r="26" spans="2:17" ht="16.5" thickBot="1">
      <c r="B26" s="334" t="s">
        <v>93</v>
      </c>
      <c r="C26" s="336"/>
      <c r="D26" s="197">
        <f>H12*D8</f>
        <v>181265</v>
      </c>
      <c r="E26" s="198">
        <f t="shared" ref="E26:N26" si="7">D26*(1+$D$11)</f>
        <v>186702.95</v>
      </c>
      <c r="F26" s="198">
        <f t="shared" si="7"/>
        <v>192304.03850000002</v>
      </c>
      <c r="G26" s="198">
        <f t="shared" si="7"/>
        <v>198073.15965500002</v>
      </c>
      <c r="H26" s="198">
        <f t="shared" si="7"/>
        <v>204015.35444465003</v>
      </c>
      <c r="I26" s="198">
        <f t="shared" si="7"/>
        <v>210135.81507798954</v>
      </c>
      <c r="J26" s="198">
        <f t="shared" si="7"/>
        <v>216439.88953032924</v>
      </c>
      <c r="K26" s="198">
        <f t="shared" si="7"/>
        <v>222933.08621623911</v>
      </c>
      <c r="L26" s="198">
        <f t="shared" si="7"/>
        <v>229621.07880272629</v>
      </c>
      <c r="M26" s="198">
        <f t="shared" si="7"/>
        <v>236509.71116680809</v>
      </c>
      <c r="N26" s="199">
        <f t="shared" si="7"/>
        <v>243605.00250181233</v>
      </c>
      <c r="O26" s="192">
        <f>SUM(E26:N26)</f>
        <v>2140340.0858955546</v>
      </c>
      <c r="Q26" s="31"/>
    </row>
    <row r="27" spans="2:17" ht="16.5" customHeight="1" thickBot="1">
      <c r="B27" s="332" t="s">
        <v>237</v>
      </c>
      <c r="C27" s="333"/>
      <c r="D27" s="200">
        <f>SUM(D22:D26)</f>
        <v>742262.89862258954</v>
      </c>
      <c r="E27" s="200">
        <f>SUM(E22:E26)</f>
        <v>766146.41456749314</v>
      </c>
      <c r="F27" s="200">
        <f t="shared" ref="F27:N27" si="8">SUM(F22:F26)</f>
        <v>790811.06115019287</v>
      </c>
      <c r="G27" s="200">
        <f t="shared" si="8"/>
        <v>816282.8572962007</v>
      </c>
      <c r="H27" s="200">
        <f t="shared" si="8"/>
        <v>842588.7058990486</v>
      </c>
      <c r="I27" s="200">
        <f t="shared" si="8"/>
        <v>869756.42447534064</v>
      </c>
      <c r="J27" s="200">
        <f t="shared" si="8"/>
        <v>897814.77690489416</v>
      </c>
      <c r="K27" s="200">
        <f t="shared" si="8"/>
        <v>926793.50629514607</v>
      </c>
      <c r="L27" s="200">
        <f t="shared" si="8"/>
        <v>956723.3690104296</v>
      </c>
      <c r="M27" s="200">
        <f t="shared" si="8"/>
        <v>987636.16990822903</v>
      </c>
      <c r="N27" s="201">
        <f t="shared" si="8"/>
        <v>1019564.7988260617</v>
      </c>
      <c r="O27" s="192">
        <f>SUM(O22:O26)</f>
        <v>8874118.0843330361</v>
      </c>
      <c r="Q27" s="31"/>
    </row>
    <row r="28" spans="2:17" ht="6.75" customHeight="1" thickBot="1">
      <c r="B28" s="328"/>
      <c r="C28" s="329"/>
      <c r="D28" s="159"/>
      <c r="E28" s="160"/>
      <c r="F28" s="160"/>
      <c r="G28" s="160"/>
      <c r="H28" s="160"/>
      <c r="I28" s="160"/>
      <c r="J28" s="160"/>
      <c r="K28" s="160"/>
      <c r="L28" s="160"/>
      <c r="M28" s="160"/>
      <c r="N28" s="160"/>
      <c r="O28" s="161"/>
      <c r="Q28" s="31"/>
    </row>
    <row r="29" spans="2:17" ht="33.75" hidden="1" customHeight="1" thickBot="1">
      <c r="B29" s="361"/>
      <c r="C29" s="362"/>
      <c r="D29" s="162" t="e">
        <f>(#REF!)</f>
        <v>#REF!</v>
      </c>
      <c r="E29" s="157" t="e">
        <f>(D29 + D30)*1.06</f>
        <v>#REF!</v>
      </c>
      <c r="F29" s="157" t="e">
        <f>(E29 + E30)*1.06</f>
        <v>#REF!</v>
      </c>
      <c r="G29" s="157" t="e">
        <f t="shared" ref="G29:N29" si="9">(F29 + F30)*1.06</f>
        <v>#REF!</v>
      </c>
      <c r="H29" s="157" t="e">
        <f t="shared" si="9"/>
        <v>#REF!</v>
      </c>
      <c r="I29" s="157" t="e">
        <f t="shared" si="9"/>
        <v>#REF!</v>
      </c>
      <c r="J29" s="157" t="e">
        <f t="shared" si="9"/>
        <v>#REF!</v>
      </c>
      <c r="K29" s="157" t="e">
        <f t="shared" si="9"/>
        <v>#REF!</v>
      </c>
      <c r="L29" s="157" t="e">
        <f t="shared" si="9"/>
        <v>#REF!</v>
      </c>
      <c r="M29" s="157" t="e">
        <f t="shared" si="9"/>
        <v>#REF!</v>
      </c>
      <c r="N29" s="158" t="e">
        <f t="shared" si="9"/>
        <v>#REF!</v>
      </c>
      <c r="O29" s="152" t="s">
        <v>139</v>
      </c>
      <c r="Q29" s="31"/>
    </row>
    <row r="30" spans="2:17" ht="34.5" customHeight="1" thickBot="1">
      <c r="B30" s="330" t="s">
        <v>172</v>
      </c>
      <c r="C30" s="331"/>
      <c r="D30" s="415"/>
      <c r="E30" s="46"/>
      <c r="F30" s="46"/>
      <c r="G30" s="46"/>
      <c r="H30" s="46"/>
      <c r="I30" s="46"/>
      <c r="J30" s="46"/>
      <c r="K30" s="46"/>
      <c r="L30" s="46"/>
      <c r="M30" s="46"/>
      <c r="N30" s="47"/>
      <c r="O30" s="163">
        <f>SUM(E30:N30)</f>
        <v>0</v>
      </c>
      <c r="Q30" s="31"/>
    </row>
    <row r="31" spans="2:17" ht="16.5" customHeight="1" thickBot="1">
      <c r="B31" s="332" t="s">
        <v>238</v>
      </c>
      <c r="C31" s="333"/>
      <c r="D31" s="202">
        <f>SUM(D27+D30)</f>
        <v>742262.89862258954</v>
      </c>
      <c r="E31" s="202">
        <f t="shared" ref="E31:O31" si="10">SUM(E27+E30)</f>
        <v>766146.41456749314</v>
      </c>
      <c r="F31" s="202">
        <f t="shared" si="10"/>
        <v>790811.06115019287</v>
      </c>
      <c r="G31" s="202">
        <f t="shared" si="10"/>
        <v>816282.8572962007</v>
      </c>
      <c r="H31" s="202">
        <f t="shared" si="10"/>
        <v>842588.7058990486</v>
      </c>
      <c r="I31" s="202">
        <f t="shared" si="10"/>
        <v>869756.42447534064</v>
      </c>
      <c r="J31" s="202">
        <f t="shared" si="10"/>
        <v>897814.77690489416</v>
      </c>
      <c r="K31" s="202">
        <f t="shared" si="10"/>
        <v>926793.50629514607</v>
      </c>
      <c r="L31" s="202">
        <f t="shared" si="10"/>
        <v>956723.3690104296</v>
      </c>
      <c r="M31" s="202">
        <f t="shared" si="10"/>
        <v>987636.16990822903</v>
      </c>
      <c r="N31" s="203">
        <f t="shared" si="10"/>
        <v>1019564.7988260617</v>
      </c>
      <c r="O31" s="204">
        <f t="shared" si="10"/>
        <v>8874118.0843330361</v>
      </c>
      <c r="Q31" s="31"/>
    </row>
    <row r="32" spans="2:17" ht="16.5" thickBot="1">
      <c r="B32" s="164"/>
      <c r="C32" s="165"/>
      <c r="D32" s="166"/>
      <c r="E32" s="166"/>
      <c r="F32" s="166"/>
      <c r="G32" s="166"/>
      <c r="H32" s="166"/>
      <c r="I32" s="166"/>
      <c r="J32" s="166"/>
      <c r="K32" s="166"/>
      <c r="L32" s="166"/>
      <c r="M32" s="166"/>
      <c r="N32" s="166"/>
      <c r="O32" s="167"/>
      <c r="Q32" s="31"/>
    </row>
    <row r="33" spans="2:17" ht="26.25" customHeight="1">
      <c r="B33" s="360" t="s">
        <v>173</v>
      </c>
      <c r="C33" s="360"/>
      <c r="D33" s="360"/>
      <c r="E33" s="360"/>
      <c r="F33" s="360"/>
      <c r="G33" s="360"/>
      <c r="H33" s="360"/>
      <c r="I33" s="360"/>
      <c r="J33" s="360"/>
      <c r="K33" s="360"/>
      <c r="L33" s="360"/>
      <c r="M33" s="360"/>
      <c r="N33" s="360"/>
      <c r="O33" s="360"/>
      <c r="P33" s="31"/>
    </row>
    <row r="34" spans="2:17">
      <c r="B34" s="414" t="s">
        <v>248</v>
      </c>
      <c r="C34" s="414"/>
      <c r="D34" s="414"/>
      <c r="E34" s="414"/>
      <c r="Q34" s="31"/>
    </row>
    <row r="35" spans="2:17">
      <c r="Q35" s="31"/>
    </row>
    <row r="36" spans="2:17">
      <c r="Q36" s="31"/>
    </row>
    <row r="37" spans="2:17">
      <c r="Q37" s="31"/>
    </row>
    <row r="38" spans="2:17">
      <c r="Q38" s="31"/>
    </row>
    <row r="39" spans="2:17">
      <c r="Q39" s="31"/>
    </row>
  </sheetData>
  <sheetProtection algorithmName="SHA-512" hashValue="xLCqhByPvJ87tGtlIfgrcO1OdfwGjAZKwP0q/Ocn5TjOlfF3Ok9SwRN+BV2RF8+m9yFmwh8kBxgxczoLldQimg==" saltValue="RD8w8M6cJzSiTfHYxhXUjw==" spinCount="100000" sheet="1" objects="1" scenarios="1"/>
  <mergeCells count="44">
    <mergeCell ref="B34:E34"/>
    <mergeCell ref="B33:O33"/>
    <mergeCell ref="B29:C29"/>
    <mergeCell ref="B24:C24"/>
    <mergeCell ref="M7:O7"/>
    <mergeCell ref="G7:H7"/>
    <mergeCell ref="O16:O17"/>
    <mergeCell ref="E16:N16"/>
    <mergeCell ref="J9:K9"/>
    <mergeCell ref="M9:N9"/>
    <mergeCell ref="B18:C18"/>
    <mergeCell ref="J11:K11"/>
    <mergeCell ref="B11:C11"/>
    <mergeCell ref="J13:K13"/>
    <mergeCell ref="M11:O11"/>
    <mergeCell ref="J12:K12"/>
    <mergeCell ref="M12:O12"/>
    <mergeCell ref="B1:O1"/>
    <mergeCell ref="B2:O2"/>
    <mergeCell ref="B8:C8"/>
    <mergeCell ref="B9:C9"/>
    <mergeCell ref="J10:K10"/>
    <mergeCell ref="M10:N10"/>
    <mergeCell ref="G4:I4"/>
    <mergeCell ref="J8:O8"/>
    <mergeCell ref="J7:L7"/>
    <mergeCell ref="B7:C7"/>
    <mergeCell ref="J14:K14"/>
    <mergeCell ref="M13:O13"/>
    <mergeCell ref="M14:O14"/>
    <mergeCell ref="B26:C26"/>
    <mergeCell ref="B27:C27"/>
    <mergeCell ref="B23:C23"/>
    <mergeCell ref="B25:C25"/>
    <mergeCell ref="B15:C15"/>
    <mergeCell ref="B16:C16"/>
    <mergeCell ref="B17:C17"/>
    <mergeCell ref="B20:C20"/>
    <mergeCell ref="B19:C19"/>
    <mergeCell ref="B28:C28"/>
    <mergeCell ref="B30:C30"/>
    <mergeCell ref="B31:C31"/>
    <mergeCell ref="B21:C21"/>
    <mergeCell ref="B22:C22"/>
  </mergeCells>
  <pageMargins left="0.25" right="0.25" top="0.75" bottom="0.75" header="0.3" footer="0.3"/>
  <pageSetup scale="46" orientation="landscape" r:id="rId1"/>
  <ignoredErrors>
    <ignoredError sqref="O30" formulaRange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6E3147A-611A-44AD-9E1F-7695600B9066}">
          <x14:formula1>
            <xm:f>'Campuswide Expenses'!$B$7:$B$7</xm:f>
          </x14:formula1>
          <xm:sqref>O4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5D1F17-DBDD-480C-A483-108B2D6450B3}">
  <sheetPr codeName="Sheet4">
    <pageSetUpPr fitToPage="1"/>
  </sheetPr>
  <dimension ref="B1:AL19"/>
  <sheetViews>
    <sheetView zoomScale="85" zoomScaleNormal="85" workbookViewId="0">
      <selection activeCell="T8" sqref="T8"/>
    </sheetView>
  </sheetViews>
  <sheetFormatPr defaultRowHeight="15"/>
  <cols>
    <col min="1" max="1" width="2.28515625" customWidth="1"/>
    <col min="2" max="2" width="10.140625" customWidth="1"/>
    <col min="3" max="3" width="41" customWidth="1"/>
    <col min="4" max="4" width="9.85546875" customWidth="1"/>
    <col min="5" max="5" width="10.42578125" customWidth="1"/>
    <col min="6" max="7" width="10.28515625" customWidth="1"/>
    <col min="8" max="8" width="8.5703125" hidden="1" customWidth="1"/>
    <col min="9" max="10" width="9.140625" style="4" hidden="1" customWidth="1"/>
    <col min="11" max="11" width="11.5703125" style="4" hidden="1" customWidth="1"/>
    <col min="12" max="12" width="9.140625" style="4" hidden="1" customWidth="1"/>
    <col min="13" max="13" width="19.140625" style="4" hidden="1" customWidth="1"/>
    <col min="14" max="14" width="14.7109375" hidden="1" customWidth="1"/>
    <col min="15" max="15" width="16.140625" hidden="1" customWidth="1"/>
    <col min="16" max="16" width="11.7109375" hidden="1" customWidth="1"/>
    <col min="17" max="18" width="10.7109375" hidden="1" customWidth="1"/>
    <col min="19" max="21" width="10.7109375" customWidth="1"/>
    <col min="22" max="22" width="12.42578125" customWidth="1"/>
    <col min="23" max="23" width="18.7109375" customWidth="1"/>
    <col min="24" max="36" width="15.85546875" hidden="1" customWidth="1"/>
    <col min="37" max="38" width="18" customWidth="1"/>
    <col min="40" max="40" width="96.7109375" customWidth="1"/>
  </cols>
  <sheetData>
    <row r="1" spans="2:38" ht="15.75" thickBot="1"/>
    <row r="2" spans="2:38" ht="51.75" customHeight="1" thickBot="1">
      <c r="B2" s="403" t="s">
        <v>240</v>
      </c>
      <c r="C2" s="404"/>
      <c r="D2" s="404"/>
      <c r="E2" s="404"/>
      <c r="F2" s="404"/>
      <c r="G2" s="404"/>
      <c r="H2" s="404"/>
      <c r="I2" s="404"/>
      <c r="J2" s="404"/>
      <c r="K2" s="404"/>
      <c r="L2" s="404"/>
      <c r="M2" s="404"/>
      <c r="N2" s="404"/>
      <c r="O2" s="404"/>
      <c r="P2" s="404"/>
      <c r="Q2" s="404"/>
      <c r="R2" s="404"/>
      <c r="S2" s="404"/>
      <c r="T2" s="404"/>
      <c r="U2" s="404"/>
      <c r="V2" s="404"/>
      <c r="W2" s="404"/>
      <c r="X2" s="404"/>
      <c r="Y2" s="404"/>
      <c r="Z2" s="404"/>
      <c r="AA2" s="404"/>
      <c r="AB2" s="404"/>
      <c r="AC2" s="404"/>
      <c r="AD2" s="404"/>
      <c r="AE2" s="404"/>
      <c r="AF2" s="404"/>
      <c r="AG2" s="404"/>
      <c r="AH2" s="404"/>
      <c r="AI2" s="404"/>
      <c r="AJ2" s="404"/>
      <c r="AK2" s="404"/>
      <c r="AL2" s="405"/>
    </row>
    <row r="3" spans="2:38" ht="27" thickBot="1">
      <c r="B3" s="398" t="str">
        <f>'Summary Data'!$A$1</f>
        <v>District Operations Center</v>
      </c>
      <c r="C3" s="399"/>
      <c r="D3" s="399"/>
      <c r="E3" s="399"/>
      <c r="F3" s="399"/>
      <c r="G3" s="399"/>
      <c r="H3" s="39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249" t="s">
        <v>252</v>
      </c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406" t="str">
        <f>'Summary Data'!$D$1</f>
        <v>2020-2021</v>
      </c>
      <c r="AL3" s="407"/>
    </row>
    <row r="4" spans="2:38" ht="9.75" hidden="1" customHeight="1" thickBot="1"/>
    <row r="5" spans="2:38" ht="63" customHeight="1" thickBot="1">
      <c r="B5" s="20" t="s">
        <v>41</v>
      </c>
      <c r="C5" s="20" t="s">
        <v>42</v>
      </c>
      <c r="D5" s="20" t="s">
        <v>43</v>
      </c>
      <c r="E5" s="20" t="s">
        <v>44</v>
      </c>
      <c r="F5" s="20" t="s">
        <v>45</v>
      </c>
      <c r="G5" s="20" t="s">
        <v>46</v>
      </c>
      <c r="H5" s="20" t="s">
        <v>47</v>
      </c>
      <c r="I5" s="21" t="s">
        <v>48</v>
      </c>
      <c r="J5" s="21" t="s">
        <v>49</v>
      </c>
      <c r="K5" s="21" t="s">
        <v>50</v>
      </c>
      <c r="L5" s="21" t="s">
        <v>51</v>
      </c>
      <c r="M5" s="21" t="s">
        <v>52</v>
      </c>
      <c r="N5" s="20" t="s">
        <v>53</v>
      </c>
      <c r="O5" s="20" t="s">
        <v>54</v>
      </c>
      <c r="P5" s="20" t="s">
        <v>55</v>
      </c>
      <c r="Q5" s="20" t="s">
        <v>31</v>
      </c>
      <c r="R5" s="20" t="s">
        <v>32</v>
      </c>
      <c r="S5" s="20" t="s">
        <v>140</v>
      </c>
      <c r="T5" s="20" t="s">
        <v>30</v>
      </c>
      <c r="U5" s="20" t="s">
        <v>34</v>
      </c>
      <c r="V5" s="20" t="s">
        <v>33</v>
      </c>
      <c r="W5" s="22" t="s">
        <v>253</v>
      </c>
      <c r="X5" s="23" t="s">
        <v>94</v>
      </c>
      <c r="Y5" s="23" t="s">
        <v>95</v>
      </c>
      <c r="Z5" s="23" t="s">
        <v>96</v>
      </c>
      <c r="AA5" s="23" t="s">
        <v>97</v>
      </c>
      <c r="AB5" s="23" t="s">
        <v>166</v>
      </c>
      <c r="AC5" s="23" t="s">
        <v>99</v>
      </c>
      <c r="AD5" s="23" t="s">
        <v>100</v>
      </c>
      <c r="AE5" s="23" t="s">
        <v>96</v>
      </c>
      <c r="AF5" s="23" t="s">
        <v>97</v>
      </c>
      <c r="AG5" s="23" t="s">
        <v>166</v>
      </c>
      <c r="AH5" s="23" t="s">
        <v>99</v>
      </c>
      <c r="AI5" s="23" t="s">
        <v>100</v>
      </c>
      <c r="AJ5" s="270" t="s">
        <v>194</v>
      </c>
      <c r="AK5" s="22" t="s">
        <v>246</v>
      </c>
      <c r="AL5" s="22" t="s">
        <v>247</v>
      </c>
    </row>
    <row r="6" spans="2:38" ht="15.75" thickBot="1">
      <c r="B6" s="24" t="s">
        <v>56</v>
      </c>
      <c r="C6" s="25"/>
      <c r="D6" s="25"/>
      <c r="E6" s="25"/>
      <c r="F6" s="25"/>
      <c r="G6" s="43"/>
      <c r="H6" s="40"/>
      <c r="I6" s="26"/>
      <c r="J6" s="27"/>
      <c r="K6" s="28"/>
      <c r="L6" s="28"/>
      <c r="M6" s="29" t="s">
        <v>57</v>
      </c>
      <c r="N6" s="383" t="s">
        <v>58</v>
      </c>
      <c r="O6" s="384"/>
      <c r="P6" s="400"/>
      <c r="Q6" s="401"/>
      <c r="R6" s="401"/>
      <c r="S6" s="401"/>
      <c r="T6" s="401"/>
      <c r="U6" s="401"/>
      <c r="V6" s="401"/>
      <c r="W6" s="401"/>
      <c r="X6" s="401"/>
      <c r="Y6" s="401"/>
      <c r="Z6" s="401"/>
      <c r="AA6" s="401"/>
      <c r="AB6" s="401"/>
      <c r="AC6" s="401"/>
      <c r="AD6" s="401"/>
      <c r="AE6" s="401"/>
      <c r="AF6" s="401"/>
      <c r="AG6" s="401"/>
      <c r="AH6" s="401"/>
      <c r="AI6" s="401"/>
      <c r="AJ6" s="401"/>
      <c r="AK6" s="401"/>
      <c r="AL6" s="402"/>
    </row>
    <row r="7" spans="2:38" ht="15.75">
      <c r="B7" s="224" t="s">
        <v>204</v>
      </c>
      <c r="C7" s="6" t="s">
        <v>202</v>
      </c>
      <c r="D7" s="30">
        <v>1969</v>
      </c>
      <c r="E7" s="293"/>
      <c r="F7" s="294">
        <v>54784</v>
      </c>
      <c r="G7" s="295">
        <v>42892</v>
      </c>
      <c r="H7" s="226">
        <v>0.65859999999999996</v>
      </c>
      <c r="I7" s="227">
        <v>112</v>
      </c>
      <c r="J7" s="228">
        <v>1272</v>
      </c>
      <c r="K7" s="229"/>
      <c r="L7" s="229" t="s">
        <v>59</v>
      </c>
      <c r="M7" s="230">
        <f>'FUSION Assessment'!$F$4</f>
        <v>25355678.719999999</v>
      </c>
      <c r="N7" s="231" t="str">
        <f>IFERROR(VLOOKUP($AK$3,'Summary Data'!#REF!,2,0),"")</f>
        <v/>
      </c>
      <c r="O7" s="225" t="e">
        <f>N7*80%</f>
        <v>#VALUE!</v>
      </c>
      <c r="P7" s="232">
        <v>80</v>
      </c>
      <c r="Q7" s="168">
        <f>(F7)*$H$12</f>
        <v>157970.99999999997</v>
      </c>
      <c r="R7" s="168">
        <f>F7*$H$13</f>
        <v>3591.8986225895319</v>
      </c>
      <c r="S7" s="168">
        <f>SUM(Q7:R7)</f>
        <v>161562.89862258951</v>
      </c>
      <c r="T7" s="168">
        <f>F7*$H$14</f>
        <v>181265</v>
      </c>
      <c r="U7" s="169">
        <f>F7*$H$15</f>
        <v>0</v>
      </c>
      <c r="V7" s="168">
        <f>F7*$H$16</f>
        <v>399435</v>
      </c>
      <c r="W7" s="168">
        <f>S7+T7+U7+V7</f>
        <v>742262.89862258954</v>
      </c>
      <c r="X7" s="170" t="e">
        <f t="shared" ref="X7" si="0">N7*((1+5%)/1)^(10*1)</f>
        <v>#VALUE!</v>
      </c>
      <c r="Y7" s="171" t="e">
        <f>X7*80%</f>
        <v>#VALUE!</v>
      </c>
      <c r="Z7" s="170">
        <f>Q7*((1+4%)/1)^(1*1)+Q7*((1+4%)/1)^(2*1)+Q7*((1+4%)/1)^(3*1)+Q7*((1+4%)/1)^(4*1)+Q7*((1+4%)/1)^(5*1)+Q7*((1+4%)/1)^(6*1)+Q7*((1+4%)/1)^(7*1)+Q7*((1+4%)/1)^(8*1)+Q7*((1+4%)/1)^(9*1)+Q7*((1+4%)/1)^(10*1)</f>
        <v>1972481.4182537284</v>
      </c>
      <c r="AA7" s="170">
        <f>R7*((1+4%)/1)^(1*1)+R7*((1+4%)/1)^(2*1)+R7*((1+4%)/1)^(3*1)+R7*((1+4%)/1)^(4*1)+R7*((1+4%)/1)^(5*1)+R7*((1+4%)/1)^(6*1)+R7*((1+4%)/1)^(7*1)+R7*((1+4%)/1)^(8*1)+R7*((1+4%)/1)^(9*1)+R7*((1+4%)/1)^(10*1)</f>
        <v>44849.708423122058</v>
      </c>
      <c r="AB7" s="170">
        <f>T7*((1+3%)/1)^(1*1)+T7*((1+3%)/1)^(2*1)+T7*((1+3%)/1)^(3*1)+T7*((1+3%)/1)^(4*1)+T7*((1+3%)/1)^(5*1)+T7*((1+3%)/1)^(6*1)+T7*((1+3%)/1)^(7*1)+T7*((1+3%)/1)^(8*1)+T7*((1+3%)/1)^(9*1)+T7*((1+3%)/1)^(10*1)</f>
        <v>2140340.0858955542</v>
      </c>
      <c r="AC7" s="170">
        <f>U7*((1+3%)/1)^(1*1)+U7*((1+3%)/1)^(2*1)+U7*((1+3%)/1)^(3*1)+U7*((1+3%)/1)^(4*1)+U7*((1+3%)/1)^(5*1)+U7*((1+3%)/1)^(6*1)+U7*((1+3%)/1)^(7*1)+U7*((1+3%)/1)^(8*1)+U7*((1+3%)/1)^(9*1)+U7*((1+3%)/1)^(10*1)</f>
        <v>0</v>
      </c>
      <c r="AD7" s="170">
        <f>V7*((1+3%)/1)^(1*1)+V7*((1+3%)/1)^(2*1)+V7*((1+3%)/1)^(3*1)+V7*((1+3%)/1)^(4*1)+V7*((1+3%)/1)^(5*1)+V7*((1+3%)/1)^(6*1)+V7*((1+3%)/1)^(7*1)+V7*((1+3%)/1)^(8*1)+V7*((1+3%)/1)^(9*1)+V7*((1+3%)/1)^(10*1)</f>
        <v>4716446.87176063</v>
      </c>
      <c r="AE7" s="170">
        <f>Q7*((1+4%)/1)^(1*1)+Q7*((1+4%)/1)^(2*1)+Q7*((1+4%)/1)^(3*1)+Q7*((1+4%)/1)^(4*1)+Q7*((1+4%)/1)^(5*1)+Q7*((1+4%)/1)^(6*1)+Q7*((1+4%)/1)^(7*1)+Q7*((1+4%)/1)^(8*1)+Q7*((1+4%)/1)^(9*1)+Q7*((1+4%)/1)^(10*1)+Q7*((1+4%)/1)^(11*1)+Q7*((1+4%)/1)^(12*1)+Q7*((1+4%)/1)^(13*1)+Q7*((1+4%)/1)^(AE763*1)+Q7*((1+4%)/1)^(15*1)+Q7*((1+4%)/1)^(16*1)+Q7*((1+4%)/1)^(17*1)+Q7*((1+4%)/1)^(18*1)+Q7*((1+4%)/1)^(19*1)+Q7*((1+4%)/1)^(20*1)</f>
        <v>4776652.1046271781</v>
      </c>
      <c r="AF7" s="170">
        <f>R7*((1+4%)/1)^(1*1)+R7*((1+4%)/1)^(2*1)+R7*((1+4%)/1)^(3*1)+R7*((1+4%)/1)^(4*1)+R7*((1+4%)/1)^(5*1)+R7*((1+4%)/1)^(6*1)+R7*((1+4%)/1)^(7*1)+R7*((1+4%)/1)^(8*1)+R7*((1+4%)/1)^(9*1)+R7*((1+4%)/1)^(10*1)+R7*((1+4%)/1)^(11*1)+R7*((1+4%)/1)^(12*1)+R7*((1+4%)/1)^(13*1)+R7*((1+4%)/1)^(14*1)+R7*((1+4%)/1)^(15*1)+R7*((1+4%)/1)^(16*1)+R7*((1+4%)/1)^(17*1)+R7*((1+4%)/1)^(18*1)+R7*((1+4%)/1)^(19*1)+R7*((1+4%)/1)^(20*1)</f>
        <v>111238.23299670265</v>
      </c>
      <c r="AG7" s="170">
        <f>T7*((1+4%)/1)^(1*1)+T7*((1+4%)/1)^(2*1)+T7*((1+4%)/1)^(3*1)+T7*((1+4%)/1)^(4*1)+T7*((1+4%)/1)^(5*1)+T7*((1+4%)/1)^(6*1)+T7*((1+4%)/1)^(7*1)+T7*((1+4%)/1)^(8*1)+T7*((1+4%)/1)^(9*1)+T7*((1+4%)/1)^(10*1)+T7*((1+4%)/1)^(11*1)+T7*((1+4%)/1)^(12*1)+T7*((1+4%)/1)^(13*1)+T7*((1+4%)/1)^(14*1)+T7*((1+4%)/1)^(15*1)+T7*((1+4%)/1)^(16*1)+T7*((1+4%)/1)^(17*1)+T7*((1+4%)/1)^(18*1)+T7*((1+4%)/1)^(19*1)+T7*((1+4%)/1)^(20*1)</f>
        <v>5613632.3495707735</v>
      </c>
      <c r="AH7" s="170">
        <f>U7*((1+4%)/1)^(1*1)+U7*((1+4%)/1)^(2*1)+U7*((1+4%)/1)^(3*1)+U7*((1+4%)/1)^(4*1)+U7*((1+4%)/1)^(5*1)+U7*((1+4%)/1)^(6*1)+U7*((1+4%)/1)^(7*1)+U7*((1+4%)/1)^(8*1)+U7*((1+4%)/1)^(9*1)+U7*((1+4%)/1)^(10*1)+U7*((1+4%)/1)^(11*1)+U7*((1+4%)/1)^(12*1)+U7*((1+4%)/1)^(13*1)+U7*((1+4%)/1)^(14*1)+U7*((1+4%)/1)^(15*1)+U7*((1+4%)/1)^(16*1)+U7*((1+4%)/1)^(17*1)+U7*((1+4%)/1)^(18*1)+U7*((1+4%)/1)^(19*1)+U7*((1+4%)/1)^(20*1)</f>
        <v>0</v>
      </c>
      <c r="AI7" s="170">
        <f>V7*((1+4%)/1)^(1*1)+V7*((1+4%)/1)^(2*1)+V7*((1+4%)/1)^(3*1)+V7*((1+4%)/1)^(4*1)+V7*((1+4%)/1)^(5*1)+V7*((1+4%)/1)^(6*1)+V7*((1+4%)/1)^(7*1)+V7*((1+4%)/1)^(8*1)+V7*((1+4%)/1)^(9*1)+V7*((1+4%)/1)^(10*1)+V7*((1+4%)/1)^(11*1)+V7*((1+4%)/1)^(12*1)+V7*((1+4%)/1)^(13*1)+V7*((1+4%)/1)^(14*1)+V7*((1+4%)/1)^(15*1)+V7*((1+4%)/1)^(16*1)+V7*((1+4%)/1)^(17*1)+V7*((1+4%)/1)^(18*1)+V7*((1+4%)/1)^(19*1)+V7*((1+4%)/1)^(20*1)</f>
        <v>12370183.088576408</v>
      </c>
      <c r="AJ7" s="170">
        <f>IF('Expenses by Building'!$O$4=B7,'Expenses by Building'!$O$30,0)</f>
        <v>0</v>
      </c>
      <c r="AK7" s="168">
        <f>Z7+AA7+AB7+AC7+AD7+AJ7</f>
        <v>8874118.0843330342</v>
      </c>
      <c r="AL7" s="168">
        <f>AE7+AF7+AG7+AH7+AI7+AJ7</f>
        <v>22871705.775771059</v>
      </c>
    </row>
    <row r="8" spans="2:38">
      <c r="B8" s="233"/>
      <c r="C8" s="233"/>
      <c r="D8" s="233"/>
      <c r="E8" s="234"/>
      <c r="F8" s="235">
        <f>SUM(F7:F7)</f>
        <v>54784</v>
      </c>
      <c r="G8" s="235">
        <f>SUM(G7:G7)</f>
        <v>42892</v>
      </c>
      <c r="H8" s="235"/>
      <c r="I8" s="236"/>
      <c r="J8" s="236"/>
      <c r="K8" s="236"/>
      <c r="L8" s="236"/>
      <c r="M8" s="236"/>
      <c r="N8" s="172"/>
      <c r="O8" s="172"/>
      <c r="P8" s="172"/>
      <c r="Q8" s="234"/>
      <c r="R8" s="172"/>
      <c r="S8" s="172"/>
      <c r="T8" s="172"/>
      <c r="U8" s="385" t="s">
        <v>60</v>
      </c>
      <c r="V8" s="385"/>
      <c r="W8" s="173">
        <f>SUM(W7:W7)</f>
        <v>742262.89862258954</v>
      </c>
      <c r="X8" s="174">
        <f>N8*((1+5%)/1)^(50*1)</f>
        <v>0</v>
      </c>
      <c r="Y8" s="174">
        <f t="shared" ref="Y8" si="1">X8*80%</f>
        <v>0</v>
      </c>
      <c r="Z8" s="174"/>
      <c r="AA8" s="174"/>
      <c r="AB8" s="174"/>
      <c r="AC8" s="174"/>
      <c r="AD8" s="174"/>
      <c r="AE8" s="174"/>
      <c r="AF8" s="174"/>
      <c r="AG8" s="174"/>
      <c r="AH8" s="174"/>
      <c r="AI8" s="174"/>
      <c r="AJ8" s="174"/>
      <c r="AK8" s="175">
        <f>SUM(AK7:AK7)</f>
        <v>8874118.0843330342</v>
      </c>
      <c r="AL8" s="175">
        <f>SUM(AL7:AL7)</f>
        <v>22871705.775771059</v>
      </c>
    </row>
    <row r="9" spans="2:38" ht="15.75" thickBot="1">
      <c r="E9" s="31"/>
    </row>
    <row r="10" spans="2:38" ht="31.5" customHeight="1">
      <c r="B10" s="251" t="s">
        <v>177</v>
      </c>
      <c r="C10" s="252"/>
      <c r="D10" s="253"/>
      <c r="E10" s="254"/>
      <c r="F10" s="253"/>
      <c r="G10" s="253"/>
      <c r="H10" s="253"/>
      <c r="I10" s="253"/>
      <c r="J10" s="253"/>
      <c r="K10" s="253"/>
      <c r="L10" s="253"/>
      <c r="M10" s="253"/>
      <c r="N10" s="253"/>
      <c r="O10" s="253"/>
      <c r="P10" s="253"/>
      <c r="Q10" s="253"/>
      <c r="R10" s="253"/>
      <c r="S10" s="253"/>
      <c r="T10" s="255"/>
      <c r="U10" s="255"/>
      <c r="V10" s="255"/>
      <c r="W10" s="255"/>
      <c r="X10" s="255"/>
      <c r="Y10" s="255"/>
      <c r="Z10" s="255"/>
      <c r="AA10" s="255"/>
      <c r="AB10" s="255"/>
      <c r="AC10" s="255"/>
      <c r="AD10" s="255"/>
      <c r="AE10" s="255"/>
      <c r="AF10" s="255"/>
      <c r="AG10" s="255"/>
      <c r="AH10" s="255"/>
      <c r="AI10" s="255"/>
      <c r="AJ10" s="255"/>
      <c r="AK10" s="255"/>
      <c r="AL10" s="256"/>
    </row>
    <row r="11" spans="2:38">
      <c r="B11" s="392" t="s">
        <v>176</v>
      </c>
      <c r="C11" s="393"/>
      <c r="D11" s="259"/>
      <c r="E11" s="260"/>
      <c r="F11" s="259"/>
      <c r="G11" s="259"/>
      <c r="H11" s="391" t="s">
        <v>167</v>
      </c>
      <c r="I11" s="391"/>
      <c r="J11" s="391"/>
      <c r="K11" s="391"/>
      <c r="L11" s="391"/>
      <c r="M11" s="391"/>
      <c r="N11" s="391"/>
      <c r="O11" s="391"/>
      <c r="P11" s="391"/>
      <c r="Q11" s="391"/>
      <c r="R11" s="391"/>
      <c r="S11" s="391"/>
      <c r="T11" s="261"/>
      <c r="U11" s="261"/>
      <c r="V11" s="261"/>
      <c r="W11" s="261"/>
      <c r="X11" s="261"/>
      <c r="Y11" s="261"/>
      <c r="Z11" s="261"/>
      <c r="AA11" s="261"/>
      <c r="AB11" s="261"/>
      <c r="AC11" s="261"/>
      <c r="AD11" s="261"/>
      <c r="AE11" s="261"/>
      <c r="AF11" s="261"/>
      <c r="AG11" s="261"/>
      <c r="AH11" s="261"/>
      <c r="AI11" s="261"/>
      <c r="AJ11" s="261"/>
      <c r="AK11" s="261"/>
      <c r="AL11" s="262"/>
    </row>
    <row r="12" spans="2:38">
      <c r="B12" s="257" t="s">
        <v>241</v>
      </c>
      <c r="C12" s="258"/>
      <c r="D12" s="259"/>
      <c r="E12" s="258"/>
      <c r="F12" s="258"/>
      <c r="G12" s="263"/>
      <c r="H12" s="389">
        <f>'Summary Data'!$F$35</f>
        <v>2.8835243866822426</v>
      </c>
      <c r="I12" s="389"/>
      <c r="J12" s="389"/>
      <c r="K12" s="389"/>
      <c r="L12" s="389"/>
      <c r="M12" s="389"/>
      <c r="N12" s="389"/>
      <c r="O12" s="389"/>
      <c r="P12" s="389"/>
      <c r="Q12" s="389"/>
      <c r="R12" s="389"/>
      <c r="S12" s="389"/>
      <c r="T12" s="261"/>
      <c r="U12" s="261"/>
      <c r="V12" s="261"/>
      <c r="W12" s="261"/>
      <c r="X12" s="264"/>
      <c r="Y12" s="264"/>
      <c r="Z12" s="264"/>
      <c r="AA12" s="264"/>
      <c r="AB12" s="264"/>
      <c r="AC12" s="264"/>
      <c r="AD12" s="264"/>
      <c r="AE12" s="264"/>
      <c r="AF12" s="264"/>
      <c r="AG12" s="264"/>
      <c r="AH12" s="264"/>
      <c r="AI12" s="264"/>
      <c r="AJ12" s="264"/>
      <c r="AK12" s="261"/>
      <c r="AL12" s="262"/>
    </row>
    <row r="13" spans="2:38">
      <c r="B13" s="257" t="s">
        <v>242</v>
      </c>
      <c r="C13" s="258"/>
      <c r="D13" s="258"/>
      <c r="E13" s="259"/>
      <c r="F13" s="263"/>
      <c r="G13" s="263"/>
      <c r="H13" s="389">
        <f>'Summary Data'!$E$29</f>
        <v>6.5564738292011024E-2</v>
      </c>
      <c r="I13" s="389"/>
      <c r="J13" s="389"/>
      <c r="K13" s="389"/>
      <c r="L13" s="389"/>
      <c r="M13" s="389"/>
      <c r="N13" s="389"/>
      <c r="O13" s="389"/>
      <c r="P13" s="389"/>
      <c r="Q13" s="389"/>
      <c r="R13" s="389"/>
      <c r="S13" s="389"/>
      <c r="T13" s="261"/>
      <c r="U13" s="261"/>
      <c r="V13" s="261"/>
      <c r="W13" s="261"/>
      <c r="X13" s="261"/>
      <c r="Y13" s="261"/>
      <c r="Z13" s="261"/>
      <c r="AA13" s="261"/>
      <c r="AB13" s="261"/>
      <c r="AC13" s="261"/>
      <c r="AD13" s="261"/>
      <c r="AE13" s="261"/>
      <c r="AF13" s="261"/>
      <c r="AG13" s="261"/>
      <c r="AH13" s="261"/>
      <c r="AI13" s="261"/>
      <c r="AJ13" s="261"/>
      <c r="AK13" s="261"/>
      <c r="AL13" s="262"/>
    </row>
    <row r="14" spans="2:38" ht="33.75" customHeight="1">
      <c r="B14" s="394" t="s">
        <v>243</v>
      </c>
      <c r="C14" s="395"/>
      <c r="D14" s="395"/>
      <c r="E14" s="395"/>
      <c r="F14" s="395"/>
      <c r="G14" s="395"/>
      <c r="H14" s="389">
        <f>'Summary Data'!$E$38</f>
        <v>3.3087215245327104</v>
      </c>
      <c r="I14" s="389"/>
      <c r="J14" s="389"/>
      <c r="K14" s="389"/>
      <c r="L14" s="389"/>
      <c r="M14" s="389"/>
      <c r="N14" s="389"/>
      <c r="O14" s="389"/>
      <c r="P14" s="389"/>
      <c r="Q14" s="389"/>
      <c r="R14" s="389"/>
      <c r="S14" s="389"/>
      <c r="T14" s="261"/>
      <c r="U14" s="261"/>
      <c r="V14" s="261"/>
      <c r="W14" s="261"/>
      <c r="X14" s="261"/>
      <c r="Y14" s="261"/>
      <c r="Z14" s="261"/>
      <c r="AA14" s="261"/>
      <c r="AB14" s="261"/>
      <c r="AC14" s="261"/>
      <c r="AD14" s="261"/>
      <c r="AE14" s="261"/>
      <c r="AF14" s="261"/>
      <c r="AG14" s="261"/>
      <c r="AH14" s="261"/>
      <c r="AI14" s="261"/>
      <c r="AJ14" s="261"/>
      <c r="AK14" s="261"/>
      <c r="AL14" s="262"/>
    </row>
    <row r="15" spans="2:38" ht="16.5" customHeight="1">
      <c r="B15" s="265" t="s">
        <v>244</v>
      </c>
      <c r="C15" s="259"/>
      <c r="D15" s="259"/>
      <c r="E15" s="259"/>
      <c r="F15" s="259"/>
      <c r="G15" s="259"/>
      <c r="H15" s="389">
        <f>'Summary Data'!$E$41</f>
        <v>0</v>
      </c>
      <c r="I15" s="389"/>
      <c r="J15" s="389"/>
      <c r="K15" s="389"/>
      <c r="L15" s="389"/>
      <c r="M15" s="389"/>
      <c r="N15" s="389"/>
      <c r="O15" s="389"/>
      <c r="P15" s="389"/>
      <c r="Q15" s="389"/>
      <c r="R15" s="389"/>
      <c r="S15" s="389"/>
      <c r="T15" s="266"/>
      <c r="U15" s="261"/>
      <c r="V15" s="261"/>
      <c r="W15" s="261"/>
      <c r="X15" s="261"/>
      <c r="Y15" s="261"/>
      <c r="Z15" s="261"/>
      <c r="AA15" s="261"/>
      <c r="AB15" s="261"/>
      <c r="AC15" s="261"/>
      <c r="AD15" s="261"/>
      <c r="AE15" s="261"/>
      <c r="AF15" s="261"/>
      <c r="AG15" s="261"/>
      <c r="AH15" s="261"/>
      <c r="AI15" s="261"/>
      <c r="AJ15" s="261"/>
      <c r="AK15" s="261"/>
      <c r="AL15" s="262"/>
    </row>
    <row r="16" spans="2:38" ht="30.75" customHeight="1" thickBot="1">
      <c r="B16" s="396" t="s">
        <v>245</v>
      </c>
      <c r="C16" s="397"/>
      <c r="D16" s="397"/>
      <c r="E16" s="397"/>
      <c r="F16" s="397"/>
      <c r="G16" s="397"/>
      <c r="H16" s="390">
        <f>'Summary Data'!$H$26</f>
        <v>7.2910886390186915</v>
      </c>
      <c r="I16" s="390"/>
      <c r="J16" s="390"/>
      <c r="K16" s="390"/>
      <c r="L16" s="390"/>
      <c r="M16" s="390"/>
      <c r="N16" s="390"/>
      <c r="O16" s="390"/>
      <c r="P16" s="390"/>
      <c r="Q16" s="390"/>
      <c r="R16" s="390"/>
      <c r="S16" s="390"/>
      <c r="T16" s="267"/>
      <c r="U16" s="267"/>
      <c r="V16" s="267"/>
      <c r="W16" s="268"/>
      <c r="X16" s="267"/>
      <c r="Y16" s="267"/>
      <c r="Z16" s="267"/>
      <c r="AA16" s="267"/>
      <c r="AB16" s="267"/>
      <c r="AC16" s="267"/>
      <c r="AD16" s="267"/>
      <c r="AE16" s="267"/>
      <c r="AF16" s="267"/>
      <c r="AG16" s="267"/>
      <c r="AH16" s="267"/>
      <c r="AI16" s="267"/>
      <c r="AJ16" s="267"/>
      <c r="AK16" s="267"/>
      <c r="AL16" s="269"/>
    </row>
    <row r="17" spans="2:23" ht="15.75" thickBot="1">
      <c r="B17" s="386" t="s">
        <v>61</v>
      </c>
      <c r="C17" s="387"/>
      <c r="J17" s="388"/>
      <c r="K17" s="388"/>
      <c r="L17" s="388"/>
      <c r="M17" s="388"/>
      <c r="N17" s="388"/>
      <c r="O17" s="388"/>
      <c r="P17" s="388"/>
      <c r="Q17" s="388"/>
      <c r="R17" s="388"/>
      <c r="S17" s="388"/>
      <c r="T17" s="388"/>
      <c r="U17" s="388"/>
      <c r="V17" s="388"/>
      <c r="W17" s="388"/>
    </row>
    <row r="18" spans="2:23" ht="15.75" hidden="1" thickBot="1">
      <c r="B18" s="416" t="s">
        <v>117</v>
      </c>
      <c r="C18" s="417"/>
      <c r="D18" s="417"/>
      <c r="E18" s="417"/>
      <c r="F18" s="417"/>
      <c r="G18" s="381"/>
      <c r="H18" s="382"/>
      <c r="J18" s="378" t="s">
        <v>86</v>
      </c>
      <c r="K18" s="379"/>
      <c r="L18" s="379"/>
      <c r="M18" s="379"/>
      <c r="N18" s="379"/>
      <c r="O18" s="379"/>
      <c r="P18" s="379"/>
      <c r="Q18" s="379"/>
      <c r="R18" s="379"/>
      <c r="S18" s="379"/>
      <c r="T18" s="379"/>
      <c r="U18" s="379"/>
      <c r="V18" s="379"/>
      <c r="W18" s="380"/>
    </row>
    <row r="19" spans="2:23">
      <c r="B19" s="418" t="s">
        <v>248</v>
      </c>
      <c r="C19" s="418"/>
      <c r="D19" s="418"/>
      <c r="E19" s="418"/>
      <c r="F19" s="418"/>
    </row>
  </sheetData>
  <sheetProtection algorithmName="SHA-512" hashValue="bH1vkEiGd0fMiXh0HlJhSz33DfyQo5wbvR7fXX2WhL8OvLEUoAxuehQ/ywAjB00eRanlFNrOWysWyb469aLu3g==" saltValue="ynA0KnOMd2KlEeEB486FBg==" spinCount="100000" sheet="1" objects="1" scenarios="1"/>
  <mergeCells count="20">
    <mergeCell ref="B3:H3"/>
    <mergeCell ref="P6:AL6"/>
    <mergeCell ref="B2:AL2"/>
    <mergeCell ref="AK3:AL3"/>
    <mergeCell ref="B19:F19"/>
    <mergeCell ref="J18:W18"/>
    <mergeCell ref="B18:H18"/>
    <mergeCell ref="N6:O6"/>
    <mergeCell ref="U8:V8"/>
    <mergeCell ref="B17:C17"/>
    <mergeCell ref="J17:W17"/>
    <mergeCell ref="H12:S12"/>
    <mergeCell ref="H13:S13"/>
    <mergeCell ref="H14:S14"/>
    <mergeCell ref="H15:S15"/>
    <mergeCell ref="H16:S16"/>
    <mergeCell ref="H11:S11"/>
    <mergeCell ref="B11:C11"/>
    <mergeCell ref="B14:G14"/>
    <mergeCell ref="B16:G16"/>
  </mergeCells>
  <pageMargins left="0.25" right="0.25" top="0.75" bottom="0.75" header="0.3" footer="0.3"/>
  <pageSetup paperSize="3" fitToWidth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5DDAA8-5CE2-4900-A5C3-2BA89D6867A9}">
  <sheetPr codeName="Sheet5">
    <pageSetUpPr fitToPage="1"/>
  </sheetPr>
  <dimension ref="B1:G6"/>
  <sheetViews>
    <sheetView tabSelected="1" zoomScaleNormal="100" workbookViewId="0">
      <selection activeCell="B6" sqref="B6:E6"/>
    </sheetView>
  </sheetViews>
  <sheetFormatPr defaultRowHeight="15"/>
  <cols>
    <col min="3" max="3" width="53.140625" customWidth="1"/>
    <col min="4" max="4" width="10.28515625" customWidth="1"/>
    <col min="5" max="6" width="18.7109375" customWidth="1"/>
  </cols>
  <sheetData>
    <row r="1" spans="2:7" ht="54.75" customHeight="1">
      <c r="B1" s="409" t="s">
        <v>90</v>
      </c>
      <c r="C1" s="409"/>
      <c r="D1" s="409"/>
      <c r="E1" s="409"/>
      <c r="F1" s="409"/>
      <c r="G1" s="409"/>
    </row>
    <row r="2" spans="2:7" ht="15" customHeight="1">
      <c r="B2" s="7" t="s">
        <v>104</v>
      </c>
      <c r="C2" s="408" t="s">
        <v>203</v>
      </c>
      <c r="D2" s="408"/>
      <c r="E2" s="408"/>
      <c r="F2" s="408"/>
      <c r="G2" s="408"/>
    </row>
    <row r="3" spans="2:7">
      <c r="B3" s="5" t="s">
        <v>41</v>
      </c>
      <c r="C3" s="38" t="s">
        <v>103</v>
      </c>
      <c r="D3" s="39" t="s">
        <v>175</v>
      </c>
      <c r="E3" s="3" t="s">
        <v>87</v>
      </c>
      <c r="F3" s="3" t="s">
        <v>88</v>
      </c>
      <c r="G3" s="3" t="s">
        <v>89</v>
      </c>
    </row>
    <row r="4" spans="2:7">
      <c r="B4" s="2" t="s">
        <v>204</v>
      </c>
      <c r="C4" s="6" t="s">
        <v>202</v>
      </c>
      <c r="D4" s="30">
        <v>1969</v>
      </c>
      <c r="E4" s="291">
        <v>7952576.5800000001</v>
      </c>
      <c r="F4" s="291">
        <v>25355678.719999999</v>
      </c>
      <c r="G4" s="292">
        <f>SUM(E4/F4)</f>
        <v>0.31364084818314025</v>
      </c>
    </row>
    <row r="5" spans="2:7">
      <c r="B5" s="410"/>
      <c r="C5" s="410"/>
      <c r="D5" s="410"/>
      <c r="E5" s="410"/>
      <c r="F5" s="410"/>
      <c r="G5" s="410"/>
    </row>
    <row r="6" spans="2:7">
      <c r="B6" s="411" t="s">
        <v>248</v>
      </c>
      <c r="C6" s="411"/>
      <c r="D6" s="411"/>
      <c r="E6" s="411"/>
    </row>
  </sheetData>
  <sheetProtection algorithmName="SHA-512" hashValue="SglqxeRWWUiuj3pAK5j/IyxJuB+Dtwoegdeml2027+HUvB7Zaj904WX/sMcJM20nK3LcyVEMozhUVilqdnHDiw==" saltValue="WPolcyBWMcdSJQ59f8ehhQ==" spinCount="100000" sheet="1" objects="1" scenarios="1"/>
  <mergeCells count="4">
    <mergeCell ref="C2:G2"/>
    <mergeCell ref="B1:G1"/>
    <mergeCell ref="B5:G5"/>
    <mergeCell ref="B6:E6"/>
  </mergeCells>
  <pageMargins left="0.25" right="0.25" top="0.75" bottom="0.75" header="0.3" footer="0.3"/>
  <pageSetup scale="7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8F2AD478B3EA840BA4F1FA2E858E2BD" ma:contentTypeVersion="2" ma:contentTypeDescription="Create a new document." ma:contentTypeScope="" ma:versionID="34772a5963c5562ab581fc9c27f31549">
  <xsd:schema xmlns:xsd="http://www.w3.org/2001/XMLSchema" xmlns:xs="http://www.w3.org/2001/XMLSchema" xmlns:p="http://schemas.microsoft.com/office/2006/metadata/properties" xmlns:ns1="http://schemas.microsoft.com/sharepoint/v3" xmlns:ns2="d6e866e8-7e90-4abe-a382-bf774f596087" targetNamespace="http://schemas.microsoft.com/office/2006/metadata/properties" ma:root="true" ma:fieldsID="f2fd6c16b90bde1758a258c96b65d67a" ns1:_="" ns2:_="">
    <xsd:import namespace="http://schemas.microsoft.com/sharepoint/v3"/>
    <xsd:import namespace="d6e866e8-7e90-4abe-a382-bf774f596087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e866e8-7e90-4abe-a382-bf774f59608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C54A4B84-3633-45EC-BCD8-FFA768990BE3}"/>
</file>

<file path=customXml/itemProps2.xml><?xml version="1.0" encoding="utf-8"?>
<ds:datastoreItem xmlns:ds="http://schemas.openxmlformats.org/officeDocument/2006/customXml" ds:itemID="{851E72A1-42B1-493F-9B54-6D6490FDA8D8}"/>
</file>

<file path=customXml/itemProps3.xml><?xml version="1.0" encoding="utf-8"?>
<ds:datastoreItem xmlns:ds="http://schemas.openxmlformats.org/officeDocument/2006/customXml" ds:itemID="{0BFF883B-157C-4B43-BFE0-348F5F9C2FE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Summary Data</vt:lpstr>
      <vt:lpstr>Staffing Expenses</vt:lpstr>
      <vt:lpstr>Expenses by Building</vt:lpstr>
      <vt:lpstr>Campuswide Expenses</vt:lpstr>
      <vt:lpstr>FUSION Assessment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Alanis, Ellen</dc:creator>
  <cp:lastModifiedBy>Alanis, Ellen</cp:lastModifiedBy>
  <cp:lastPrinted>2023-11-17T01:15:36Z</cp:lastPrinted>
  <dcterms:created xsi:type="dcterms:W3CDTF">2022-10-21T16:37:19Z</dcterms:created>
  <dcterms:modified xsi:type="dcterms:W3CDTF">2024-01-25T19:10:49Z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0x01010078F2AD478B3EA840BA4F1FA2E858E2BD</vt:lpwstr>
  </property>
</Properties>
</file>