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epartment Directories\Facility Planning\13. PLANNING\MOPS+B\FINAL\"/>
    </mc:Choice>
  </mc:AlternateContent>
  <xr:revisionPtr revIDLastSave="0" documentId="8_{6E0160DD-C27B-4DF7-BAA5-84DC22B4CE07}" xr6:coauthVersionLast="47" xr6:coauthVersionMax="47" xr10:uidLastSave="{00000000-0000-0000-0000-000000000000}"/>
  <bookViews>
    <workbookView xWindow="-120" yWindow="-120" windowWidth="29040" windowHeight="15840" activeTab="4" xr2:uid="{E936361E-0279-4DA8-902D-5F8F9AB6CDA5}"/>
  </bookViews>
  <sheets>
    <sheet name="Summary Data" sheetId="5" r:id="rId1"/>
    <sheet name="Staffing Expenses " sheetId="2" r:id="rId2"/>
    <sheet name="Expenses by Building" sheetId="7" r:id="rId3"/>
    <sheet name="Campuswide Expenses" sheetId="8" r:id="rId4"/>
    <sheet name="FUSION Assessment" sheetId="9" r:id="rId5"/>
  </sheets>
  <definedNames>
    <definedName name="_xlnm._FilterDatabase" localSheetId="1" hidden="1">'Staffing Expenses '!$A$3:$E$5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K26" i="2"/>
  <c r="F26" i="2"/>
  <c r="K17" i="2"/>
  <c r="F17" i="2"/>
  <c r="D8" i="7" l="1"/>
  <c r="L14" i="7" s="1"/>
  <c r="G25" i="5" l="1"/>
  <c r="G24" i="5"/>
  <c r="AJ46" i="8"/>
  <c r="AJ45" i="8"/>
  <c r="AJ44" i="8"/>
  <c r="AJ43" i="8"/>
  <c r="AJ42" i="8"/>
  <c r="AJ41" i="8"/>
  <c r="AJ40" i="8"/>
  <c r="AJ39" i="8"/>
  <c r="AJ38" i="8"/>
  <c r="AJ37" i="8"/>
  <c r="AJ36" i="8"/>
  <c r="AJ35" i="8"/>
  <c r="AJ34" i="8"/>
  <c r="AJ33" i="8"/>
  <c r="AJ32" i="8"/>
  <c r="AJ31" i="8"/>
  <c r="AJ30" i="8"/>
  <c r="AJ29" i="8"/>
  <c r="AJ28" i="8"/>
  <c r="AJ27" i="8"/>
  <c r="AJ25" i="8"/>
  <c r="AJ24" i="8"/>
  <c r="AJ23" i="8"/>
  <c r="AJ22" i="8"/>
  <c r="AJ21" i="8"/>
  <c r="AJ20" i="8"/>
  <c r="AJ19" i="8"/>
  <c r="AJ18" i="8"/>
  <c r="AJ17" i="8"/>
  <c r="AJ16" i="8"/>
  <c r="AJ12" i="8"/>
  <c r="AJ11" i="8"/>
  <c r="AJ9" i="8"/>
  <c r="AJ8" i="8"/>
  <c r="A26" i="2"/>
  <c r="G7" i="7" l="1"/>
  <c r="K4" i="7"/>
  <c r="O30" i="7"/>
  <c r="AK3" i="8"/>
  <c r="G11" i="5"/>
  <c r="G10" i="5"/>
  <c r="B26" i="2"/>
  <c r="C17" i="2"/>
  <c r="B17" i="2"/>
  <c r="A17" i="2"/>
  <c r="AJ13" i="8" l="1"/>
  <c r="AJ15" i="8"/>
  <c r="AJ26" i="8"/>
  <c r="AJ14" i="8"/>
  <c r="AJ7" i="8"/>
  <c r="AJ10" i="8"/>
  <c r="M7" i="8"/>
  <c r="M13" i="8"/>
  <c r="M27" i="8" l="1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17" i="8"/>
  <c r="M26" i="8"/>
  <c r="M18" i="8"/>
  <c r="M19" i="8"/>
  <c r="M20" i="8"/>
  <c r="M21" i="8"/>
  <c r="M22" i="8"/>
  <c r="M23" i="8"/>
  <c r="M24" i="8"/>
  <c r="M25" i="8"/>
  <c r="M14" i="8"/>
  <c r="M15" i="8"/>
  <c r="M16" i="8"/>
  <c r="M12" i="8" l="1"/>
  <c r="M10" i="8" l="1"/>
  <c r="M9" i="8"/>
  <c r="M8" i="8"/>
  <c r="A9" i="2"/>
  <c r="G43" i="9" l="1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D19" i="7"/>
  <c r="E19" i="7" s="1"/>
  <c r="F19" i="7" s="1"/>
  <c r="G19" i="7" s="1"/>
  <c r="H19" i="7" s="1"/>
  <c r="I19" i="7" s="1"/>
  <c r="J19" i="7" s="1"/>
  <c r="K19" i="7" s="1"/>
  <c r="L19" i="7" s="1"/>
  <c r="M19" i="7" s="1"/>
  <c r="N19" i="7" s="1"/>
  <c r="M8" i="2" l="1"/>
  <c r="I8" i="2"/>
  <c r="J8" i="2" s="1"/>
  <c r="E8" i="2"/>
  <c r="F8" i="2" s="1"/>
  <c r="N8" i="2" l="1"/>
  <c r="O8" i="2" s="1"/>
  <c r="K8" i="2"/>
  <c r="B3" i="8" l="1"/>
  <c r="E6" i="5"/>
  <c r="B9" i="2"/>
  <c r="D14" i="5"/>
  <c r="C13" i="5"/>
  <c r="E12" i="5"/>
  <c r="E11" i="5"/>
  <c r="D26" i="2" s="1"/>
  <c r="E10" i="5"/>
  <c r="D17" i="2" s="1"/>
  <c r="E17" i="2" s="1"/>
  <c r="I26" i="2" l="1"/>
  <c r="J26" i="2" s="1"/>
  <c r="E26" i="2"/>
  <c r="I17" i="2"/>
  <c r="J17" i="2" s="1"/>
  <c r="D29" i="7"/>
  <c r="H11" i="5"/>
  <c r="L12" i="7" l="1"/>
  <c r="N17" i="2"/>
  <c r="O17" i="2" s="1"/>
  <c r="N30" i="8"/>
  <c r="X30" i="8" s="1"/>
  <c r="Y30" i="8" s="1"/>
  <c r="N18" i="8"/>
  <c r="N28" i="8"/>
  <c r="X28" i="8" s="1"/>
  <c r="Y28" i="8" s="1"/>
  <c r="N26" i="8"/>
  <c r="X26" i="8" s="1"/>
  <c r="Y26" i="8" s="1"/>
  <c r="N37" i="8"/>
  <c r="X37" i="8" s="1"/>
  <c r="Y37" i="8" s="1"/>
  <c r="N25" i="8"/>
  <c r="X25" i="8" s="1"/>
  <c r="Y25" i="8" s="1"/>
  <c r="N36" i="8"/>
  <c r="X36" i="8" s="1"/>
  <c r="Y36" i="8" s="1"/>
  <c r="N24" i="8"/>
  <c r="X24" i="8" s="1"/>
  <c r="Y24" i="8" s="1"/>
  <c r="N35" i="8"/>
  <c r="X35" i="8" s="1"/>
  <c r="Y35" i="8" s="1"/>
  <c r="N23" i="8"/>
  <c r="X23" i="8" s="1"/>
  <c r="Y23" i="8" s="1"/>
  <c r="N34" i="8"/>
  <c r="X34" i="8" s="1"/>
  <c r="Y34" i="8" s="1"/>
  <c r="N22" i="8"/>
  <c r="X22" i="8" s="1"/>
  <c r="Y22" i="8" s="1"/>
  <c r="N33" i="8"/>
  <c r="X33" i="8" s="1"/>
  <c r="Y33" i="8" s="1"/>
  <c r="N21" i="8"/>
  <c r="X21" i="8" s="1"/>
  <c r="Y21" i="8" s="1"/>
  <c r="N32" i="8"/>
  <c r="X32" i="8" s="1"/>
  <c r="Y32" i="8" s="1"/>
  <c r="N20" i="8"/>
  <c r="X20" i="8" s="1"/>
  <c r="Y20" i="8" s="1"/>
  <c r="N31" i="8"/>
  <c r="X31" i="8" s="1"/>
  <c r="Y31" i="8" s="1"/>
  <c r="N19" i="8"/>
  <c r="X19" i="8" s="1"/>
  <c r="Y19" i="8" s="1"/>
  <c r="N29" i="8"/>
  <c r="X29" i="8" s="1"/>
  <c r="Y29" i="8" s="1"/>
  <c r="N27" i="8"/>
  <c r="X27" i="8" s="1"/>
  <c r="Y27" i="8" s="1"/>
  <c r="N17" i="8"/>
  <c r="X17" i="8" s="1"/>
  <c r="Y17" i="8" s="1"/>
  <c r="N16" i="8"/>
  <c r="X16" i="8" s="1"/>
  <c r="Y16" i="8" s="1"/>
  <c r="N15" i="8"/>
  <c r="X15" i="8" s="1"/>
  <c r="Y15" i="8" s="1"/>
  <c r="N14" i="8"/>
  <c r="X14" i="8" s="1"/>
  <c r="Y14" i="8" s="1"/>
  <c r="N13" i="8"/>
  <c r="N12" i="8"/>
  <c r="X12" i="8" s="1"/>
  <c r="Y12" i="8" s="1"/>
  <c r="N11" i="8"/>
  <c r="X11" i="8" s="1"/>
  <c r="Y11" i="8" s="1"/>
  <c r="N10" i="8"/>
  <c r="X10" i="8" s="1"/>
  <c r="Y10" i="8" s="1"/>
  <c r="N9" i="8"/>
  <c r="X9" i="8" s="1"/>
  <c r="Y9" i="8" s="1"/>
  <c r="N46" i="8"/>
  <c r="X46" i="8" s="1"/>
  <c r="Y46" i="8" s="1"/>
  <c r="N40" i="8"/>
  <c r="X40" i="8" s="1"/>
  <c r="Y40" i="8" s="1"/>
  <c r="N41" i="8"/>
  <c r="X41" i="8" s="1"/>
  <c r="Y41" i="8" s="1"/>
  <c r="N44" i="8"/>
  <c r="X44" i="8" s="1"/>
  <c r="Y44" i="8" s="1"/>
  <c r="N38" i="8"/>
  <c r="X38" i="8" s="1"/>
  <c r="Y38" i="8" s="1"/>
  <c r="N42" i="8"/>
  <c r="X42" i="8" s="1"/>
  <c r="Y42" i="8" s="1"/>
  <c r="N43" i="8"/>
  <c r="X43" i="8" s="1"/>
  <c r="Y43" i="8" s="1"/>
  <c r="N39" i="8"/>
  <c r="X39" i="8" s="1"/>
  <c r="Y39" i="8" s="1"/>
  <c r="N45" i="8"/>
  <c r="X45" i="8" s="1"/>
  <c r="Y45" i="8" s="1"/>
  <c r="N7" i="8"/>
  <c r="N8" i="8"/>
  <c r="X8" i="8" s="1"/>
  <c r="Y8" i="8" s="1"/>
  <c r="G4" i="7"/>
  <c r="X7" i="8" l="1"/>
  <c r="D18" i="7"/>
  <c r="X18" i="8"/>
  <c r="Y18" i="8" s="1"/>
  <c r="X47" i="8"/>
  <c r="Y47" i="8" s="1"/>
  <c r="D7" i="7"/>
  <c r="H10" i="5"/>
  <c r="G9" i="5"/>
  <c r="E29" i="7"/>
  <c r="F29" i="7" s="1"/>
  <c r="G29" i="7" s="1"/>
  <c r="H29" i="7" s="1"/>
  <c r="I29" i="7" s="1"/>
  <c r="J29" i="7" s="1"/>
  <c r="K29" i="7" s="1"/>
  <c r="L29" i="7" s="1"/>
  <c r="M29" i="7" s="1"/>
  <c r="N29" i="7" s="1"/>
  <c r="Y7" i="8" l="1"/>
  <c r="E18" i="7"/>
  <c r="D20" i="7"/>
  <c r="D21" i="7" s="1"/>
  <c r="G47" i="8"/>
  <c r="F47" i="8"/>
  <c r="O45" i="8"/>
  <c r="O44" i="8"/>
  <c r="O42" i="8"/>
  <c r="O40" i="8"/>
  <c r="O38" i="8"/>
  <c r="O37" i="8"/>
  <c r="O35" i="8"/>
  <c r="O33" i="8"/>
  <c r="O32" i="8"/>
  <c r="O30" i="8"/>
  <c r="O28" i="8"/>
  <c r="O26" i="8"/>
  <c r="O25" i="8"/>
  <c r="O23" i="8"/>
  <c r="O21" i="8"/>
  <c r="O20" i="8"/>
  <c r="O19" i="8"/>
  <c r="O18" i="8"/>
  <c r="O17" i="8"/>
  <c r="O16" i="8"/>
  <c r="O15" i="8"/>
  <c r="O14" i="8"/>
  <c r="O12" i="8"/>
  <c r="O11" i="8"/>
  <c r="O10" i="8"/>
  <c r="O9" i="8"/>
  <c r="O8" i="8"/>
  <c r="O7" i="8"/>
  <c r="E20" i="7" l="1"/>
  <c r="E21" i="7" s="1"/>
  <c r="F18" i="7"/>
  <c r="O34" i="8"/>
  <c r="O36" i="8"/>
  <c r="O46" i="8"/>
  <c r="O27" i="8"/>
  <c r="O39" i="8"/>
  <c r="O22" i="8"/>
  <c r="O29" i="8"/>
  <c r="O41" i="8"/>
  <c r="O24" i="8"/>
  <c r="O31" i="8"/>
  <c r="O43" i="8"/>
  <c r="F20" i="7" l="1"/>
  <c r="F21" i="7" s="1"/>
  <c r="G18" i="7"/>
  <c r="C9" i="2"/>
  <c r="H12" i="5"/>
  <c r="L10" i="7"/>
  <c r="E9" i="5"/>
  <c r="H9" i="5" s="1"/>
  <c r="L9" i="7" s="1"/>
  <c r="E41" i="5"/>
  <c r="H54" i="8" s="1"/>
  <c r="E38" i="5"/>
  <c r="E35" i="5"/>
  <c r="H8" i="7" s="1"/>
  <c r="D22" i="7" s="1"/>
  <c r="E32" i="5"/>
  <c r="E7" i="5"/>
  <c r="C26" i="2" s="1"/>
  <c r="E19" i="5"/>
  <c r="E25" i="5" s="1"/>
  <c r="H25" i="5" s="1"/>
  <c r="E18" i="5"/>
  <c r="L26" i="2" s="1"/>
  <c r="E17" i="5"/>
  <c r="L17" i="2" s="1"/>
  <c r="E16" i="5"/>
  <c r="O10" i="7" l="1"/>
  <c r="O9" i="7"/>
  <c r="L13" i="7" s="1"/>
  <c r="M17" i="2"/>
  <c r="G17" i="5" s="1"/>
  <c r="G23" i="5" s="1"/>
  <c r="M26" i="2"/>
  <c r="N26" i="2" s="1"/>
  <c r="O26" i="2" s="1"/>
  <c r="E22" i="7"/>
  <c r="H18" i="7"/>
  <c r="G20" i="7"/>
  <c r="G21" i="7" s="1"/>
  <c r="E22" i="5"/>
  <c r="L9" i="2"/>
  <c r="E23" i="5"/>
  <c r="E24" i="5"/>
  <c r="F41" i="5"/>
  <c r="H12" i="7" s="1"/>
  <c r="D26" i="7" s="1"/>
  <c r="H53" i="8"/>
  <c r="U40" i="8"/>
  <c r="AH40" i="8" s="1"/>
  <c r="U13" i="8"/>
  <c r="AH13" i="8" s="1"/>
  <c r="U23" i="8"/>
  <c r="AH23" i="8" s="1"/>
  <c r="U18" i="8"/>
  <c r="AH18" i="8" s="1"/>
  <c r="U46" i="8"/>
  <c r="AH46" i="8" s="1"/>
  <c r="U34" i="8"/>
  <c r="AH34" i="8" s="1"/>
  <c r="U10" i="8"/>
  <c r="AH10" i="8" s="1"/>
  <c r="U45" i="8"/>
  <c r="AH45" i="8" s="1"/>
  <c r="U32" i="8"/>
  <c r="AH32" i="8" s="1"/>
  <c r="U28" i="8"/>
  <c r="AH28" i="8" s="1"/>
  <c r="U33" i="8"/>
  <c r="AH33" i="8" s="1"/>
  <c r="U11" i="8"/>
  <c r="AH11" i="8" s="1"/>
  <c r="U21" i="8"/>
  <c r="AH21" i="8" s="1"/>
  <c r="U43" i="8"/>
  <c r="AH43" i="8" s="1"/>
  <c r="U8" i="8"/>
  <c r="AH8" i="8" s="1"/>
  <c r="U42" i="8"/>
  <c r="AH42" i="8" s="1"/>
  <c r="U41" i="8"/>
  <c r="AH41" i="8" s="1"/>
  <c r="U17" i="8"/>
  <c r="AH17" i="8" s="1"/>
  <c r="U16" i="8"/>
  <c r="AH16" i="8" s="1"/>
  <c r="U44" i="8"/>
  <c r="AH44" i="8" s="1"/>
  <c r="U22" i="8"/>
  <c r="AH22" i="8" s="1"/>
  <c r="U31" i="8"/>
  <c r="AH31" i="8" s="1"/>
  <c r="U9" i="8"/>
  <c r="AH9" i="8" s="1"/>
  <c r="U26" i="8"/>
  <c r="AH26" i="8" s="1"/>
  <c r="U39" i="8"/>
  <c r="AH39" i="8" s="1"/>
  <c r="U27" i="8"/>
  <c r="AH27" i="8" s="1"/>
  <c r="U36" i="8"/>
  <c r="AH36" i="8" s="1"/>
  <c r="U37" i="8"/>
  <c r="AH37" i="8" s="1"/>
  <c r="U7" i="8"/>
  <c r="AH7" i="8" s="1"/>
  <c r="U20" i="8"/>
  <c r="AH20" i="8" s="1"/>
  <c r="U35" i="8"/>
  <c r="AH35" i="8" s="1"/>
  <c r="U15" i="8"/>
  <c r="AH15" i="8" s="1"/>
  <c r="U24" i="8"/>
  <c r="AH24" i="8" s="1"/>
  <c r="U25" i="8"/>
  <c r="AH25" i="8" s="1"/>
  <c r="U30" i="8"/>
  <c r="AH30" i="8" s="1"/>
  <c r="U38" i="8"/>
  <c r="AH38" i="8" s="1"/>
  <c r="U12" i="8"/>
  <c r="AH12" i="8" s="1"/>
  <c r="U14" i="8"/>
  <c r="AH14" i="8" s="1"/>
  <c r="U19" i="8"/>
  <c r="AH19" i="8" s="1"/>
  <c r="U29" i="8"/>
  <c r="AH29" i="8" s="1"/>
  <c r="H9" i="7"/>
  <c r="D23" i="7" s="1"/>
  <c r="F35" i="5"/>
  <c r="H51" i="8" s="1"/>
  <c r="D9" i="2"/>
  <c r="E20" i="5"/>
  <c r="E29" i="5"/>
  <c r="I9" i="2" l="1"/>
  <c r="J9" i="2" s="1"/>
  <c r="E9" i="2"/>
  <c r="AC36" i="8"/>
  <c r="AC8" i="8"/>
  <c r="AC27" i="8"/>
  <c r="AC12" i="8"/>
  <c r="AC31" i="8"/>
  <c r="AC10" i="8"/>
  <c r="AC21" i="8"/>
  <c r="AC26" i="8"/>
  <c r="AC28" i="8"/>
  <c r="AC32" i="8"/>
  <c r="AC44" i="8"/>
  <c r="AC17" i="8"/>
  <c r="AC34" i="8"/>
  <c r="AC23" i="8"/>
  <c r="AC43" i="8"/>
  <c r="AC13" i="8"/>
  <c r="AC39" i="8"/>
  <c r="AC40" i="8"/>
  <c r="AC38" i="8"/>
  <c r="AC11" i="8"/>
  <c r="AC30" i="8"/>
  <c r="AC9" i="8"/>
  <c r="AC25" i="8"/>
  <c r="AC22" i="8"/>
  <c r="AC45" i="8"/>
  <c r="AC16" i="8"/>
  <c r="AC41" i="8"/>
  <c r="AC46" i="8"/>
  <c r="AC19" i="8"/>
  <c r="AC14" i="8"/>
  <c r="AC33" i="8"/>
  <c r="AC24" i="8"/>
  <c r="AC15" i="8"/>
  <c r="AC35" i="8"/>
  <c r="AC20" i="8"/>
  <c r="AC7" i="8"/>
  <c r="AC29" i="8"/>
  <c r="AC37" i="8"/>
  <c r="AC42" i="8"/>
  <c r="AC18" i="8"/>
  <c r="F22" i="7"/>
  <c r="G22" i="7" s="1"/>
  <c r="H22" i="7" s="1"/>
  <c r="I22" i="7" s="1"/>
  <c r="J22" i="7" s="1"/>
  <c r="K22" i="7" s="1"/>
  <c r="L22" i="7" s="1"/>
  <c r="M22" i="7" s="1"/>
  <c r="N22" i="7" s="1"/>
  <c r="E23" i="7"/>
  <c r="E26" i="7"/>
  <c r="I18" i="7"/>
  <c r="H20" i="7"/>
  <c r="H21" i="7" s="1"/>
  <c r="E26" i="5"/>
  <c r="T23" i="8"/>
  <c r="T16" i="8"/>
  <c r="T30" i="8"/>
  <c r="T46" i="8"/>
  <c r="T37" i="8"/>
  <c r="T8" i="8"/>
  <c r="T43" i="8"/>
  <c r="T19" i="8"/>
  <c r="T29" i="8"/>
  <c r="T40" i="8"/>
  <c r="T11" i="8"/>
  <c r="T27" i="8"/>
  <c r="T18" i="8"/>
  <c r="T26" i="8"/>
  <c r="T41" i="8"/>
  <c r="T34" i="8"/>
  <c r="T22" i="8"/>
  <c r="T28" i="8"/>
  <c r="T36" i="8"/>
  <c r="T32" i="8"/>
  <c r="T10" i="8"/>
  <c r="T45" i="8"/>
  <c r="T24" i="8"/>
  <c r="T7" i="8"/>
  <c r="T42" i="8"/>
  <c r="T44" i="8"/>
  <c r="T17" i="8"/>
  <c r="T20" i="8"/>
  <c r="T9" i="8"/>
  <c r="T39" i="8"/>
  <c r="T25" i="8"/>
  <c r="T38" i="8"/>
  <c r="T14" i="8"/>
  <c r="T12" i="8"/>
  <c r="T15" i="8"/>
  <c r="T13" i="8"/>
  <c r="T33" i="8"/>
  <c r="T31" i="8"/>
  <c r="T21" i="8"/>
  <c r="T35" i="8"/>
  <c r="H10" i="7"/>
  <c r="D24" i="7" s="1"/>
  <c r="H52" i="8"/>
  <c r="Q9" i="8"/>
  <c r="Q30" i="8"/>
  <c r="Q28" i="8"/>
  <c r="Q34" i="8"/>
  <c r="Q18" i="8"/>
  <c r="Q16" i="8"/>
  <c r="Q44" i="8"/>
  <c r="Q32" i="8"/>
  <c r="Q41" i="8"/>
  <c r="Q39" i="8"/>
  <c r="Q10" i="8"/>
  <c r="Q20" i="8"/>
  <c r="Q29" i="8"/>
  <c r="Q27" i="8"/>
  <c r="Q21" i="8"/>
  <c r="Q8" i="8"/>
  <c r="Q17" i="8"/>
  <c r="Q15" i="8"/>
  <c r="Q35" i="8"/>
  <c r="Q37" i="8"/>
  <c r="Q38" i="8"/>
  <c r="Q42" i="8"/>
  <c r="Q22" i="8"/>
  <c r="Q13" i="8"/>
  <c r="Q26" i="8"/>
  <c r="Q12" i="8"/>
  <c r="Q40" i="8"/>
  <c r="Q43" i="8"/>
  <c r="Q24" i="8"/>
  <c r="Q14" i="8"/>
  <c r="Q33" i="8"/>
  <c r="Q31" i="8"/>
  <c r="Q23" i="8"/>
  <c r="Q25" i="8"/>
  <c r="Q11" i="8"/>
  <c r="Q45" i="8"/>
  <c r="Q19" i="8"/>
  <c r="Q46" i="8"/>
  <c r="Q36" i="8"/>
  <c r="Q7" i="8"/>
  <c r="M9" i="2"/>
  <c r="N9" i="2" l="1"/>
  <c r="O9" i="2" s="1"/>
  <c r="K9" i="2"/>
  <c r="L11" i="7" s="1"/>
  <c r="G18" i="5"/>
  <c r="H24" i="5" s="1"/>
  <c r="AE38" i="8"/>
  <c r="Z38" i="8"/>
  <c r="AG21" i="8"/>
  <c r="AB21" i="8"/>
  <c r="AG30" i="8"/>
  <c r="AB30" i="8"/>
  <c r="AE37" i="8"/>
  <c r="Z37" i="8"/>
  <c r="AG31" i="8"/>
  <c r="AB31" i="8"/>
  <c r="AE33" i="8"/>
  <c r="Z33" i="8"/>
  <c r="AE35" i="8"/>
  <c r="Z35" i="8"/>
  <c r="AE44" i="8"/>
  <c r="Z44" i="8"/>
  <c r="AG33" i="8"/>
  <c r="AB33" i="8"/>
  <c r="AG42" i="8"/>
  <c r="AB42" i="8"/>
  <c r="AG18" i="8"/>
  <c r="AB18" i="8"/>
  <c r="AG23" i="8"/>
  <c r="AB23" i="8"/>
  <c r="AE14" i="8"/>
  <c r="Z14" i="8"/>
  <c r="AE15" i="8"/>
  <c r="Z15" i="8"/>
  <c r="AE16" i="8"/>
  <c r="Z16" i="8"/>
  <c r="AG13" i="8"/>
  <c r="AB13" i="8"/>
  <c r="AG7" i="8"/>
  <c r="AB7" i="8"/>
  <c r="AG27" i="8"/>
  <c r="AB27" i="8"/>
  <c r="AE11" i="8"/>
  <c r="Z11" i="8"/>
  <c r="AE10" i="8"/>
  <c r="Z10" i="8"/>
  <c r="AG37" i="8"/>
  <c r="AB37" i="8"/>
  <c r="AE24" i="8"/>
  <c r="Z24" i="8"/>
  <c r="AE17" i="8"/>
  <c r="Z17" i="8"/>
  <c r="AE18" i="8"/>
  <c r="Z18" i="8"/>
  <c r="AG15" i="8"/>
  <c r="AB15" i="8"/>
  <c r="AG24" i="8"/>
  <c r="AB24" i="8"/>
  <c r="AG11" i="8"/>
  <c r="AB11" i="8"/>
  <c r="AE25" i="8"/>
  <c r="Z25" i="8"/>
  <c r="AE39" i="8"/>
  <c r="Z39" i="8"/>
  <c r="AG20" i="8"/>
  <c r="AB20" i="8"/>
  <c r="AG46" i="8"/>
  <c r="AB46" i="8"/>
  <c r="AE7" i="8"/>
  <c r="Z7" i="8"/>
  <c r="AE8" i="8"/>
  <c r="Z8" i="8"/>
  <c r="AG12" i="8"/>
  <c r="AB12" i="8"/>
  <c r="AE21" i="8"/>
  <c r="Z21" i="8"/>
  <c r="AE43" i="8"/>
  <c r="Z43" i="8"/>
  <c r="AE34" i="8"/>
  <c r="Z34" i="8"/>
  <c r="AG45" i="8"/>
  <c r="AB45" i="8"/>
  <c r="AG40" i="8"/>
  <c r="AB40" i="8"/>
  <c r="AE36" i="8"/>
  <c r="Z36" i="8"/>
  <c r="AE28" i="8"/>
  <c r="Z28" i="8"/>
  <c r="AG14" i="8"/>
  <c r="AB14" i="8"/>
  <c r="AG10" i="8"/>
  <c r="AB10" i="8"/>
  <c r="AG29" i="8"/>
  <c r="AB29" i="8"/>
  <c r="AE46" i="8"/>
  <c r="Z46" i="8"/>
  <c r="AE27" i="8"/>
  <c r="Z27" i="8"/>
  <c r="AG32" i="8"/>
  <c r="AB32" i="8"/>
  <c r="AE19" i="8"/>
  <c r="Z19" i="8"/>
  <c r="AE29" i="8"/>
  <c r="Z29" i="8"/>
  <c r="AE9" i="8"/>
  <c r="Z9" i="8"/>
  <c r="AG25" i="8"/>
  <c r="AB25" i="8"/>
  <c r="AG36" i="8"/>
  <c r="AB36" i="8"/>
  <c r="AG43" i="8"/>
  <c r="AB43" i="8"/>
  <c r="AE42" i="8"/>
  <c r="Z42" i="8"/>
  <c r="AG35" i="8"/>
  <c r="AB35" i="8"/>
  <c r="AG34" i="8"/>
  <c r="AB34" i="8"/>
  <c r="AE40" i="8"/>
  <c r="Z40" i="8"/>
  <c r="AE12" i="8"/>
  <c r="Z12" i="8"/>
  <c r="AE30" i="8"/>
  <c r="Z30" i="8"/>
  <c r="AG38" i="8"/>
  <c r="AB38" i="8"/>
  <c r="AG19" i="8"/>
  <c r="AB19" i="8"/>
  <c r="AE26" i="8"/>
  <c r="Z26" i="8"/>
  <c r="AE45" i="8"/>
  <c r="Z45" i="8"/>
  <c r="AE13" i="8"/>
  <c r="Z13" i="8"/>
  <c r="AE20" i="8"/>
  <c r="Z20" i="8"/>
  <c r="AG39" i="8"/>
  <c r="AB39" i="8"/>
  <c r="AG28" i="8"/>
  <c r="AB28" i="8"/>
  <c r="AG8" i="8"/>
  <c r="AB8" i="8"/>
  <c r="AE22" i="8"/>
  <c r="Z22" i="8"/>
  <c r="AG9" i="8"/>
  <c r="AB9" i="8"/>
  <c r="AE23" i="8"/>
  <c r="Z23" i="8"/>
  <c r="AG22" i="8"/>
  <c r="AB22" i="8"/>
  <c r="AE41" i="8"/>
  <c r="Z41" i="8"/>
  <c r="AG17" i="8"/>
  <c r="AB17" i="8"/>
  <c r="AG41" i="8"/>
  <c r="AB41" i="8"/>
  <c r="AE31" i="8"/>
  <c r="Z31" i="8"/>
  <c r="AE32" i="8"/>
  <c r="Z32" i="8"/>
  <c r="AG44" i="8"/>
  <c r="AB44" i="8"/>
  <c r="AG26" i="8"/>
  <c r="AB26" i="8"/>
  <c r="AG16" i="8"/>
  <c r="AB16" i="8"/>
  <c r="O22" i="7"/>
  <c r="F23" i="7"/>
  <c r="G23" i="7" s="1"/>
  <c r="H23" i="7" s="1"/>
  <c r="I23" i="7" s="1"/>
  <c r="J23" i="7" s="1"/>
  <c r="K23" i="7" s="1"/>
  <c r="L23" i="7" s="1"/>
  <c r="M23" i="7" s="1"/>
  <c r="N23" i="7" s="1"/>
  <c r="F26" i="7"/>
  <c r="G26" i="7" s="1"/>
  <c r="H26" i="7" s="1"/>
  <c r="I26" i="7" s="1"/>
  <c r="J26" i="7" s="1"/>
  <c r="K26" i="7" s="1"/>
  <c r="L26" i="7" s="1"/>
  <c r="M26" i="7" s="1"/>
  <c r="N26" i="7" s="1"/>
  <c r="E24" i="7"/>
  <c r="J18" i="7"/>
  <c r="I20" i="7"/>
  <c r="I21" i="7" s="1"/>
  <c r="H23" i="5"/>
  <c r="R26" i="8"/>
  <c r="R36" i="8"/>
  <c r="R44" i="8"/>
  <c r="R7" i="8"/>
  <c r="R22" i="8"/>
  <c r="R41" i="8"/>
  <c r="R14" i="8"/>
  <c r="R24" i="8"/>
  <c r="R20" i="8"/>
  <c r="R31" i="8"/>
  <c r="R13" i="8"/>
  <c r="S13" i="8" s="1"/>
  <c r="R45" i="8"/>
  <c r="R19" i="8"/>
  <c r="R29" i="8"/>
  <c r="R37" i="8"/>
  <c r="R12" i="8"/>
  <c r="R23" i="8"/>
  <c r="R17" i="8"/>
  <c r="R25" i="8"/>
  <c r="R35" i="8"/>
  <c r="R18" i="8"/>
  <c r="R11" i="8"/>
  <c r="R21" i="8"/>
  <c r="S21" i="8" s="1"/>
  <c r="R30" i="8"/>
  <c r="R40" i="8"/>
  <c r="S40" i="8" s="1"/>
  <c r="R46" i="8"/>
  <c r="R8" i="8"/>
  <c r="R15" i="8"/>
  <c r="S15" i="8" s="1"/>
  <c r="R28" i="8"/>
  <c r="R16" i="8"/>
  <c r="S16" i="8" s="1"/>
  <c r="R43" i="8"/>
  <c r="S43" i="8" s="1"/>
  <c r="R42" i="8"/>
  <c r="R32" i="8"/>
  <c r="R34" i="8"/>
  <c r="R10" i="8"/>
  <c r="R38" i="8"/>
  <c r="R39" i="8"/>
  <c r="R33" i="8"/>
  <c r="R27" i="8"/>
  <c r="R9" i="8"/>
  <c r="AF12" i="8" l="1"/>
  <c r="AA12" i="8"/>
  <c r="AF7" i="8"/>
  <c r="AA7" i="8"/>
  <c r="AF8" i="8"/>
  <c r="AA8" i="8"/>
  <c r="AF27" i="8"/>
  <c r="AA27" i="8"/>
  <c r="AF37" i="8"/>
  <c r="AA37" i="8"/>
  <c r="AF44" i="8"/>
  <c r="AA44" i="8"/>
  <c r="S33" i="8"/>
  <c r="AF33" i="8"/>
  <c r="AA33" i="8"/>
  <c r="S46" i="8"/>
  <c r="AF46" i="8"/>
  <c r="AA46" i="8"/>
  <c r="S29" i="8"/>
  <c r="AF29" i="8"/>
  <c r="AA29" i="8"/>
  <c r="AF36" i="8"/>
  <c r="AA36" i="8"/>
  <c r="AF14" i="8"/>
  <c r="AA14" i="8"/>
  <c r="S23" i="8"/>
  <c r="AF23" i="8"/>
  <c r="AA23" i="8"/>
  <c r="AF25" i="8"/>
  <c r="AA25" i="8"/>
  <c r="AF28" i="8"/>
  <c r="AA28" i="8"/>
  <c r="S22" i="8"/>
  <c r="AF22" i="8"/>
  <c r="AA22" i="8"/>
  <c r="S9" i="8"/>
  <c r="AF9" i="8"/>
  <c r="AA9" i="8"/>
  <c r="S19" i="8"/>
  <c r="AF19" i="8"/>
  <c r="AA19" i="8"/>
  <c r="S38" i="8"/>
  <c r="AF38" i="8"/>
  <c r="AA38" i="8"/>
  <c r="AF30" i="8"/>
  <c r="AA30" i="8"/>
  <c r="S45" i="8"/>
  <c r="AF45" i="8"/>
  <c r="AA45" i="8"/>
  <c r="AF43" i="8"/>
  <c r="AA43" i="8"/>
  <c r="S39" i="8"/>
  <c r="AF39" i="8"/>
  <c r="AA39" i="8"/>
  <c r="AF40" i="8"/>
  <c r="AA40" i="8"/>
  <c r="S26" i="8"/>
  <c r="AF26" i="8"/>
  <c r="AA26" i="8"/>
  <c r="S34" i="8"/>
  <c r="AF34" i="8"/>
  <c r="AA34" i="8"/>
  <c r="AF11" i="8"/>
  <c r="AA11" i="8"/>
  <c r="AF31" i="8"/>
  <c r="AA31" i="8"/>
  <c r="S32" i="8"/>
  <c r="AF32" i="8"/>
  <c r="AA32" i="8"/>
  <c r="AF18" i="8"/>
  <c r="AA18" i="8"/>
  <c r="S20" i="8"/>
  <c r="AF20" i="8"/>
  <c r="AA20" i="8"/>
  <c r="AF15" i="8"/>
  <c r="AA15" i="8"/>
  <c r="AF10" i="8"/>
  <c r="AA10" i="8"/>
  <c r="AF21" i="8"/>
  <c r="AA21" i="8"/>
  <c r="AF13" i="8"/>
  <c r="AA13" i="8"/>
  <c r="AF42" i="8"/>
  <c r="AA42" i="8"/>
  <c r="S35" i="8"/>
  <c r="AF35" i="8"/>
  <c r="AA35" i="8"/>
  <c r="S24" i="8"/>
  <c r="AF24" i="8"/>
  <c r="AA24" i="8"/>
  <c r="AF16" i="8"/>
  <c r="AA16" i="8"/>
  <c r="S17" i="8"/>
  <c r="AF17" i="8"/>
  <c r="AA17" i="8"/>
  <c r="AF41" i="8"/>
  <c r="AA41" i="8"/>
  <c r="S28" i="8"/>
  <c r="O23" i="7"/>
  <c r="O26" i="7"/>
  <c r="F24" i="7"/>
  <c r="G24" i="7" s="1"/>
  <c r="H24" i="7" s="1"/>
  <c r="I24" i="7" s="1"/>
  <c r="J24" i="7" s="1"/>
  <c r="K24" i="7" s="1"/>
  <c r="L24" i="7" s="1"/>
  <c r="M24" i="7" s="1"/>
  <c r="N24" i="7" s="1"/>
  <c r="S42" i="8"/>
  <c r="S14" i="8"/>
  <c r="S44" i="8"/>
  <c r="S8" i="8"/>
  <c r="S18" i="8"/>
  <c r="S37" i="8"/>
  <c r="S25" i="8"/>
  <c r="S12" i="8"/>
  <c r="S30" i="8"/>
  <c r="S36" i="8"/>
  <c r="S27" i="8"/>
  <c r="S10" i="8"/>
  <c r="S41" i="8"/>
  <c r="S31" i="8"/>
  <c r="S11" i="8"/>
  <c r="S7" i="8"/>
  <c r="K18" i="7"/>
  <c r="J20" i="7"/>
  <c r="J21" i="7" s="1"/>
  <c r="G16" i="5"/>
  <c r="G22" i="5" l="1"/>
  <c r="H22" i="5" s="1"/>
  <c r="H26" i="5" s="1"/>
  <c r="O24" i="7"/>
  <c r="K20" i="7"/>
  <c r="K21" i="7" s="1"/>
  <c r="L18" i="7"/>
  <c r="H11" i="7" l="1"/>
  <c r="D25" i="7" s="1"/>
  <c r="E25" i="7" s="1"/>
  <c r="F25" i="7" s="1"/>
  <c r="G25" i="7" s="1"/>
  <c r="H25" i="7" s="1"/>
  <c r="I25" i="7" s="1"/>
  <c r="J25" i="7" s="1"/>
  <c r="K25" i="7" s="1"/>
  <c r="L25" i="7" s="1"/>
  <c r="M25" i="7" s="1"/>
  <c r="N25" i="7" s="1"/>
  <c r="N27" i="7" s="1"/>
  <c r="N31" i="7" s="1"/>
  <c r="H55" i="8"/>
  <c r="V31" i="8" s="1"/>
  <c r="AI31" i="8" s="1"/>
  <c r="AL31" i="8" s="1"/>
  <c r="M18" i="7"/>
  <c r="L20" i="7"/>
  <c r="L21" i="7" s="1"/>
  <c r="V9" i="8" l="1"/>
  <c r="AI9" i="8" s="1"/>
  <c r="AL9" i="8" s="1"/>
  <c r="V24" i="8"/>
  <c r="AI24" i="8" s="1"/>
  <c r="AL24" i="8" s="1"/>
  <c r="V26" i="8"/>
  <c r="AI26" i="8" s="1"/>
  <c r="AL26" i="8" s="1"/>
  <c r="V34" i="8"/>
  <c r="AI34" i="8" s="1"/>
  <c r="AL34" i="8" s="1"/>
  <c r="V38" i="8"/>
  <c r="AI38" i="8" s="1"/>
  <c r="AL38" i="8" s="1"/>
  <c r="V15" i="8"/>
  <c r="AI15" i="8" s="1"/>
  <c r="AL15" i="8" s="1"/>
  <c r="V17" i="8"/>
  <c r="AI17" i="8" s="1"/>
  <c r="AL17" i="8" s="1"/>
  <c r="V29" i="8"/>
  <c r="AI29" i="8" s="1"/>
  <c r="AL29" i="8" s="1"/>
  <c r="V41" i="8"/>
  <c r="AI41" i="8" s="1"/>
  <c r="AL41" i="8" s="1"/>
  <c r="V16" i="8"/>
  <c r="AI16" i="8" s="1"/>
  <c r="AL16" i="8" s="1"/>
  <c r="V18" i="8"/>
  <c r="AI18" i="8" s="1"/>
  <c r="AL18" i="8" s="1"/>
  <c r="V23" i="8"/>
  <c r="AI23" i="8" s="1"/>
  <c r="AL23" i="8" s="1"/>
  <c r="V28" i="8"/>
  <c r="AI28" i="8" s="1"/>
  <c r="AL28" i="8" s="1"/>
  <c r="V30" i="8"/>
  <c r="AI30" i="8" s="1"/>
  <c r="AL30" i="8" s="1"/>
  <c r="V21" i="8"/>
  <c r="AI21" i="8" s="1"/>
  <c r="AL21" i="8" s="1"/>
  <c r="V35" i="8"/>
  <c r="AI35" i="8" s="1"/>
  <c r="AL35" i="8" s="1"/>
  <c r="V40" i="8"/>
  <c r="AI40" i="8" s="1"/>
  <c r="AL40" i="8" s="1"/>
  <c r="V42" i="8"/>
  <c r="AI42" i="8" s="1"/>
  <c r="AL42" i="8" s="1"/>
  <c r="V33" i="8"/>
  <c r="AI33" i="8" s="1"/>
  <c r="AL33" i="8" s="1"/>
  <c r="V14" i="8"/>
  <c r="AI14" i="8" s="1"/>
  <c r="AL14" i="8" s="1"/>
  <c r="V43" i="8"/>
  <c r="AI43" i="8" s="1"/>
  <c r="AL43" i="8" s="1"/>
  <c r="V13" i="8"/>
  <c r="AI13" i="8" s="1"/>
  <c r="AL13" i="8" s="1"/>
  <c r="V37" i="8"/>
  <c r="AI37" i="8" s="1"/>
  <c r="AL37" i="8" s="1"/>
  <c r="V27" i="8"/>
  <c r="AI27" i="8" s="1"/>
  <c r="AL27" i="8" s="1"/>
  <c r="V44" i="8"/>
  <c r="AI44" i="8" s="1"/>
  <c r="AL44" i="8" s="1"/>
  <c r="V36" i="8"/>
  <c r="AI36" i="8" s="1"/>
  <c r="AL36" i="8" s="1"/>
  <c r="V19" i="8"/>
  <c r="AI19" i="8" s="1"/>
  <c r="AL19" i="8" s="1"/>
  <c r="V8" i="8"/>
  <c r="AI8" i="8" s="1"/>
  <c r="AL8" i="8" s="1"/>
  <c r="V20" i="8"/>
  <c r="AI20" i="8" s="1"/>
  <c r="AL20" i="8" s="1"/>
  <c r="V32" i="8"/>
  <c r="AI32" i="8" s="1"/>
  <c r="AL32" i="8" s="1"/>
  <c r="V39" i="8"/>
  <c r="AI39" i="8" s="1"/>
  <c r="AL39" i="8" s="1"/>
  <c r="V22" i="8"/>
  <c r="AI22" i="8" s="1"/>
  <c r="AL22" i="8" s="1"/>
  <c r="V12" i="8"/>
  <c r="AI12" i="8" s="1"/>
  <c r="AL12" i="8" s="1"/>
  <c r="V10" i="8"/>
  <c r="AI10" i="8" s="1"/>
  <c r="AL10" i="8" s="1"/>
  <c r="V7" i="8"/>
  <c r="AI7" i="8" s="1"/>
  <c r="AL7" i="8" s="1"/>
  <c r="V45" i="8"/>
  <c r="AI45" i="8" s="1"/>
  <c r="AL45" i="8" s="1"/>
  <c r="V46" i="8"/>
  <c r="AI46" i="8" s="1"/>
  <c r="AL46" i="8" s="1"/>
  <c r="V25" i="8"/>
  <c r="AI25" i="8" s="1"/>
  <c r="AL25" i="8" s="1"/>
  <c r="V11" i="8"/>
  <c r="AI11" i="8" s="1"/>
  <c r="AL11" i="8" s="1"/>
  <c r="D27" i="7"/>
  <c r="D31" i="7" s="1"/>
  <c r="O25" i="7"/>
  <c r="O27" i="7" s="1"/>
  <c r="O31" i="7" s="1"/>
  <c r="AD38" i="8"/>
  <c r="AK38" i="8" s="1"/>
  <c r="W38" i="8"/>
  <c r="AD17" i="8"/>
  <c r="AK17" i="8" s="1"/>
  <c r="W17" i="8"/>
  <c r="AD30" i="8"/>
  <c r="AK30" i="8" s="1"/>
  <c r="AD34" i="8"/>
  <c r="AK34" i="8" s="1"/>
  <c r="W32" i="8"/>
  <c r="AD31" i="8"/>
  <c r="AK31" i="8" s="1"/>
  <c r="W31" i="8"/>
  <c r="AD26" i="8"/>
  <c r="AK26" i="8" s="1"/>
  <c r="W26" i="8"/>
  <c r="AD21" i="8"/>
  <c r="AK21" i="8" s="1"/>
  <c r="W21" i="8"/>
  <c r="W42" i="8"/>
  <c r="AD14" i="8"/>
  <c r="AK14" i="8" s="1"/>
  <c r="N18" i="7"/>
  <c r="M20" i="7"/>
  <c r="M21" i="7" s="1"/>
  <c r="E27" i="7"/>
  <c r="W15" i="8" l="1"/>
  <c r="AD42" i="8"/>
  <c r="AK42" i="8" s="1"/>
  <c r="AD15" i="8"/>
  <c r="AK15" i="8" s="1"/>
  <c r="AD29" i="8"/>
  <c r="AK29" i="8" s="1"/>
  <c r="W29" i="8"/>
  <c r="W14" i="8"/>
  <c r="W20" i="8"/>
  <c r="AD20" i="8"/>
  <c r="AK20" i="8" s="1"/>
  <c r="W40" i="8"/>
  <c r="AD40" i="8"/>
  <c r="AK40" i="8" s="1"/>
  <c r="W25" i="8"/>
  <c r="W37" i="8"/>
  <c r="AD41" i="8"/>
  <c r="AK41" i="8" s="1"/>
  <c r="AD35" i="8"/>
  <c r="AK35" i="8" s="1"/>
  <c r="W16" i="8"/>
  <c r="W8" i="8"/>
  <c r="AD8" i="8"/>
  <c r="AK8" i="8" s="1"/>
  <c r="AD16" i="8"/>
  <c r="AK16" i="8" s="1"/>
  <c r="W34" i="8"/>
  <c r="W13" i="8"/>
  <c r="W35" i="8"/>
  <c r="W36" i="8"/>
  <c r="AD36" i="8"/>
  <c r="AK36" i="8" s="1"/>
  <c r="W24" i="8"/>
  <c r="AD22" i="8"/>
  <c r="AK22" i="8" s="1"/>
  <c r="AD37" i="8"/>
  <c r="AK37" i="8" s="1"/>
  <c r="W43" i="8"/>
  <c r="W18" i="8"/>
  <c r="AD43" i="8"/>
  <c r="AK43" i="8" s="1"/>
  <c r="AD18" i="8"/>
  <c r="AK18" i="8" s="1"/>
  <c r="AD24" i="8"/>
  <c r="AK24" i="8" s="1"/>
  <c r="W41" i="8"/>
  <c r="W30" i="8"/>
  <c r="AD25" i="8"/>
  <c r="AK25" i="8" s="1"/>
  <c r="W12" i="8"/>
  <c r="AD33" i="8"/>
  <c r="AK33" i="8" s="1"/>
  <c r="W33" i="8"/>
  <c r="W9" i="8"/>
  <c r="AD9" i="8"/>
  <c r="AK9" i="8" s="1"/>
  <c r="W28" i="8"/>
  <c r="AD28" i="8"/>
  <c r="AK28" i="8" s="1"/>
  <c r="AD32" i="8"/>
  <c r="AK32" i="8" s="1"/>
  <c r="W44" i="8"/>
  <c r="W46" i="8"/>
  <c r="AD44" i="8"/>
  <c r="AK44" i="8" s="1"/>
  <c r="AD46" i="8"/>
  <c r="AK46" i="8" s="1"/>
  <c r="AD27" i="8"/>
  <c r="AK27" i="8" s="1"/>
  <c r="AD12" i="8"/>
  <c r="AK12" i="8" s="1"/>
  <c r="W39" i="8"/>
  <c r="W7" i="8"/>
  <c r="AD7" i="8"/>
  <c r="AK7" i="8" s="1"/>
  <c r="AD13" i="8"/>
  <c r="AK13" i="8" s="1"/>
  <c r="W10" i="8"/>
  <c r="W22" i="8"/>
  <c r="AD10" i="8"/>
  <c r="AK10" i="8" s="1"/>
  <c r="W45" i="8"/>
  <c r="W11" i="8"/>
  <c r="W19" i="8"/>
  <c r="W23" i="8"/>
  <c r="AD11" i="8"/>
  <c r="AK11" i="8" s="1"/>
  <c r="AD19" i="8"/>
  <c r="AK19" i="8" s="1"/>
  <c r="AD23" i="8"/>
  <c r="AK23" i="8" s="1"/>
  <c r="AD45" i="8"/>
  <c r="AK45" i="8" s="1"/>
  <c r="AD39" i="8"/>
  <c r="AK39" i="8" s="1"/>
  <c r="W27" i="8"/>
  <c r="E31" i="7"/>
  <c r="N20" i="7"/>
  <c r="N21" i="7" s="1"/>
  <c r="F27" i="7"/>
  <c r="F31" i="7" l="1"/>
  <c r="G27" i="7"/>
  <c r="G31" i="7" s="1"/>
  <c r="H27" i="7" l="1"/>
  <c r="H31" i="7" s="1"/>
  <c r="I27" i="7" l="1"/>
  <c r="I31" i="7" l="1"/>
  <c r="J27" i="7"/>
  <c r="J31" i="7" s="1"/>
  <c r="K27" i="7" l="1"/>
  <c r="K31" i="7" s="1"/>
  <c r="L27" i="7" l="1"/>
  <c r="L31" i="7" s="1"/>
  <c r="M27" i="7" l="1"/>
  <c r="M31" i="7" l="1"/>
  <c r="O13" i="8"/>
  <c r="X13" i="8"/>
  <c r="Y13" i="8" l="1"/>
  <c r="W47" i="8" l="1"/>
  <c r="AK47" i="8"/>
  <c r="AL47" i="8" l="1"/>
</calcChain>
</file>

<file path=xl/sharedStrings.xml><?xml version="1.0" encoding="utf-8"?>
<sst xmlns="http://schemas.openxmlformats.org/spreadsheetml/2006/main" count="476" uniqueCount="356">
  <si>
    <t>Site</t>
  </si>
  <si>
    <t>Site GSF</t>
  </si>
  <si>
    <t xml:space="preserve">GSF to clean per Custodian </t>
  </si>
  <si>
    <t>Orderly Spotlessness</t>
  </si>
  <si>
    <t>Ordinary Tidiness</t>
  </si>
  <si>
    <t>Casual Inattention</t>
  </si>
  <si>
    <t>Moderate Dinginess</t>
  </si>
  <si>
    <t>Projected GSF to clean per Custodian</t>
  </si>
  <si>
    <t>Projected Staff Count</t>
  </si>
  <si>
    <t>Showpiece Facility</t>
  </si>
  <si>
    <t>Comprehensive Stewardship</t>
  </si>
  <si>
    <t>Managed Care</t>
  </si>
  <si>
    <t>Reactive Management</t>
  </si>
  <si>
    <t xml:space="preserve">Crisis Response </t>
  </si>
  <si>
    <t>State of the Art</t>
  </si>
  <si>
    <t>High Level</t>
  </si>
  <si>
    <t>Moderate Level</t>
  </si>
  <si>
    <t>Moderately Low-Level</t>
  </si>
  <si>
    <t>Minimum Level</t>
  </si>
  <si>
    <t>Full Time</t>
  </si>
  <si>
    <t>Part Time</t>
  </si>
  <si>
    <t xml:space="preserve">Custodians   </t>
  </si>
  <si>
    <t>Maintenance Personnel</t>
  </si>
  <si>
    <t>Grounds Personnel</t>
  </si>
  <si>
    <t>Managers</t>
  </si>
  <si>
    <t>Total Salary &amp; Benefits</t>
  </si>
  <si>
    <t>Total Full-Time Employee Count</t>
  </si>
  <si>
    <t>Total Part-Time Employee Count</t>
  </si>
  <si>
    <t>2020-2021</t>
  </si>
  <si>
    <t>SANTA ANA COLLEGE</t>
  </si>
  <si>
    <t>OM&amp;R</t>
  </si>
  <si>
    <t>E</t>
  </si>
  <si>
    <t>W</t>
  </si>
  <si>
    <t>P</t>
  </si>
  <si>
    <t>O</t>
  </si>
  <si>
    <t>Annual Operating, (Planned) Maintenance &amp; Repairs</t>
  </si>
  <si>
    <t>Annual Contract Services</t>
  </si>
  <si>
    <t xml:space="preserve">Number of Custodians
(Converted to Full-Time) </t>
  </si>
  <si>
    <t xml:space="preserve"> </t>
  </si>
  <si>
    <t>Number of Maintenance Staff</t>
  </si>
  <si>
    <t xml:space="preserve">SQFT per Maintenance Staff </t>
  </si>
  <si>
    <t>BLDG ID</t>
  </si>
  <si>
    <t>BLDG NAME</t>
  </si>
  <si>
    <t>YEAR BLT.</t>
  </si>
  <si>
    <t>LAST ADD.</t>
  </si>
  <si>
    <t>GSF</t>
  </si>
  <si>
    <t>ASF</t>
  </si>
  <si>
    <t>Efficiency</t>
  </si>
  <si>
    <t>Rooms</t>
  </si>
  <si>
    <t>Stations</t>
  </si>
  <si>
    <t>Assess. Notes</t>
  </si>
  <si>
    <t>Status</t>
  </si>
  <si>
    <t xml:space="preserve">REPL </t>
  </si>
  <si>
    <t>REPL</t>
  </si>
  <si>
    <t>RES</t>
  </si>
  <si>
    <t>% of REPL</t>
  </si>
  <si>
    <t>Source 1</t>
  </si>
  <si>
    <t>2018</t>
  </si>
  <si>
    <t>Source 2</t>
  </si>
  <si>
    <t>A</t>
  </si>
  <si>
    <t>CESAR CHAVEZ</t>
  </si>
  <si>
    <t>B</t>
  </si>
  <si>
    <t>PORTABLES</t>
  </si>
  <si>
    <t>C</t>
  </si>
  <si>
    <t>FINE ARTS/ART GALLERY</t>
  </si>
  <si>
    <t>D</t>
  </si>
  <si>
    <t>DUNLAP HALL</t>
  </si>
  <si>
    <t>FITNESS CENTER</t>
  </si>
  <si>
    <t>F</t>
  </si>
  <si>
    <t>MEN'S/WOMEN'S P.E. LOCKERS</t>
  </si>
  <si>
    <t>G</t>
  </si>
  <si>
    <t>COOK GYMNASIUM</t>
  </si>
  <si>
    <t>No floor plan for 1st floor</t>
  </si>
  <si>
    <t>H</t>
  </si>
  <si>
    <t>HAMMOND HALL</t>
  </si>
  <si>
    <t>No floor plans</t>
  </si>
  <si>
    <t>I</t>
  </si>
  <si>
    <t>INSTRUCTIONAL BUILDING</t>
  </si>
  <si>
    <t>J</t>
  </si>
  <si>
    <t>AUTO DIESEL</t>
  </si>
  <si>
    <t>JSC</t>
  </si>
  <si>
    <t>JOHNSON STUDENT CENTER</t>
  </si>
  <si>
    <t>K</t>
  </si>
  <si>
    <t>WELDING/DIESEL</t>
  </si>
  <si>
    <t>L</t>
  </si>
  <si>
    <t>LIBRARY</t>
  </si>
  <si>
    <t>M</t>
  </si>
  <si>
    <t>TESSMANN PLANETARIUM</t>
  </si>
  <si>
    <t>N</t>
  </si>
  <si>
    <t>MUSIC BUILDING</t>
  </si>
  <si>
    <t>CENTRAL PLANT</t>
  </si>
  <si>
    <t>PHILLIPS HALL</t>
  </si>
  <si>
    <t>Complex can be separated into individual buildings</t>
  </si>
  <si>
    <t>R</t>
  </si>
  <si>
    <t>RUSSELL HALL</t>
  </si>
  <si>
    <t>S</t>
  </si>
  <si>
    <t>ADMIN BUILDING</t>
  </si>
  <si>
    <t>SC</t>
  </si>
  <si>
    <t>SCIENCE CENTER</t>
  </si>
  <si>
    <t>T</t>
  </si>
  <si>
    <t>TECHNICAL BUILDING</t>
  </si>
  <si>
    <t>V-100</t>
  </si>
  <si>
    <t>EARLY CHILDHOOD EDUCATION CENTER</t>
  </si>
  <si>
    <t>V-200</t>
  </si>
  <si>
    <t>V-300</t>
  </si>
  <si>
    <t>V-400</t>
  </si>
  <si>
    <t>V-500</t>
  </si>
  <si>
    <t>VL-100</t>
  </si>
  <si>
    <t>VILLAGE 100</t>
  </si>
  <si>
    <t>VL-200</t>
  </si>
  <si>
    <t>VILLAGE 200</t>
  </si>
  <si>
    <t>KINESIOLOGY</t>
  </si>
  <si>
    <t>X</t>
  </si>
  <si>
    <t>SECURITY</t>
  </si>
  <si>
    <t>Z</t>
  </si>
  <si>
    <t>M&amp;O BUILDING</t>
  </si>
  <si>
    <t>RESTROOM BUILDING (SOCCER)</t>
  </si>
  <si>
    <t>RESTROOM BUILDING (TRACK &amp; FIELD)</t>
  </si>
  <si>
    <t>SOCCER STORAGE</t>
  </si>
  <si>
    <t>FOOTBALL STORAGE</t>
  </si>
  <si>
    <t>ELECTRICAL</t>
  </si>
  <si>
    <t>Q-CONCESSION/RESTROOMS (BASEBALL)</t>
  </si>
  <si>
    <t>G-114 WEIGHT PAVILLION</t>
  </si>
  <si>
    <t>F-136 POOL STORAGE</t>
  </si>
  <si>
    <t>Campus Total</t>
  </si>
  <si>
    <t>Source 1 FUSION Space Inventory 2020-2021</t>
  </si>
  <si>
    <t>Combine E</t>
  </si>
  <si>
    <t>CAMPUS</t>
  </si>
  <si>
    <t xml:space="preserve">BUILDING NAME </t>
  </si>
  <si>
    <t xml:space="preserve">Custodial/Maintenance Staffing (FTE) </t>
  </si>
  <si>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: Electric</t>
    </r>
  </si>
  <si>
    <t>$/GSF</t>
  </si>
  <si>
    <r>
      <rPr>
        <b/>
        <sz val="12"/>
        <color theme="1"/>
        <rFont val="Calibri"/>
        <family val="2"/>
        <scheme val="minor"/>
      </rPr>
      <t>E:</t>
    </r>
    <r>
      <rPr>
        <sz val="12"/>
        <color theme="1"/>
        <rFont val="Calibri"/>
        <family val="2"/>
        <scheme val="minor"/>
      </rPr>
      <t xml:space="preserve"> Gas</t>
    </r>
  </si>
  <si>
    <t>Campus Custodial FTE</t>
  </si>
  <si>
    <t>Campus Custodial (GSF/FTE)</t>
  </si>
  <si>
    <t>$/Site SF</t>
  </si>
  <si>
    <t>Campus Maintenance FTE</t>
  </si>
  <si>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: M&amp;O Staff</t>
    </r>
  </si>
  <si>
    <t>OM&amp;R &amp; O</t>
  </si>
  <si>
    <t>Custodial FTE for this Bldg</t>
  </si>
  <si>
    <t xml:space="preserve">(Campus GSF/FTE/Bldg GSF) </t>
  </si>
  <si>
    <t>Maintenance FTE for this Bldg</t>
  </si>
  <si>
    <t>Combine</t>
  </si>
  <si>
    <t>Number of Grounds Staff</t>
  </si>
  <si>
    <t xml:space="preserve">SQFT to maintain per Grounds Staff </t>
  </si>
  <si>
    <t>Site SQFT Grounds Only</t>
  </si>
  <si>
    <t xml:space="preserve">Site </t>
  </si>
  <si>
    <t>Projected SQFT per Grounds Staff</t>
  </si>
  <si>
    <t>Total Site Acreage converted to Square Footage</t>
  </si>
  <si>
    <t>CAMPUS GSF</t>
  </si>
  <si>
    <t>Current Repair Cost</t>
  </si>
  <si>
    <t>Replacement Cost</t>
  </si>
  <si>
    <t xml:space="preserve">FCI  </t>
  </si>
  <si>
    <t>BUILDING A - CESAR CHAVEZ BUILDING</t>
  </si>
  <si>
    <t>B BUILDINGS (Middle College H.S. &amp; Continuing Ed .)</t>
  </si>
  <si>
    <t>BUILDING C - FINE ARTS/ART GALLERY</t>
  </si>
  <si>
    <t>BUILDING D - DUNLAP HALL</t>
  </si>
  <si>
    <t>BUILDING E - FITNESS CENTER</t>
  </si>
  <si>
    <t>BUILDING F  - LOCKER ROOMS</t>
  </si>
  <si>
    <t>BUILDING G - COOK GYMNASIUM</t>
  </si>
  <si>
    <t>BUILDING H - HAMMOND HALL</t>
  </si>
  <si>
    <t>BUILDING I - CLASSROOM BUILDING</t>
  </si>
  <si>
    <t>BUILDING J - AUTO SHOP</t>
  </si>
  <si>
    <t>BUILDING JSC - JOHNSON STUDENT CENTER</t>
  </si>
  <si>
    <t>BUILDING K - WELDING/AUTO DIESEL</t>
  </si>
  <si>
    <t>BUILDING L - NEALLEY LIBRARY</t>
  </si>
  <si>
    <t>BUILDING M - TESSMANN PLANETARIUM</t>
  </si>
  <si>
    <t>BUILDING N - MUSIC BUILDING</t>
  </si>
  <si>
    <t>BUILDING O - CENTRAL PLANT</t>
  </si>
  <si>
    <t>BUILDING P - PHILLIPS HALL THEATRE</t>
  </si>
  <si>
    <t>BUILDING R - RUSSELL HALL</t>
  </si>
  <si>
    <t>BUILDING S - ADMINISTRATION BUILDING</t>
  </si>
  <si>
    <t>BUILDING SC - SCIENCE CENTER</t>
  </si>
  <si>
    <t>BUILDING T - TECHNICAL ARTS</t>
  </si>
  <si>
    <t>BUILDING V100 - EARLY CHILDHOOD EDUCATION CENTER</t>
  </si>
  <si>
    <t>BUILDING V200 - EARLY CHILDHOOD EDUCATION CENTER</t>
  </si>
  <si>
    <t>BUILDING V300 - EARLY CHILDHOOD EDUCATION CENTER</t>
  </si>
  <si>
    <t>BUILDING V400 - EARLY CHILDHOOD EDUCATION CENTER</t>
  </si>
  <si>
    <t>BUILDING V500 - EARLY CHILDHOOD EDUCATION CENTER</t>
  </si>
  <si>
    <t>BUILDING VL100 - THE VILLAGE</t>
  </si>
  <si>
    <t>BUILDING VL200 - THE VILLAGE</t>
  </si>
  <si>
    <t>BUILDING W - KINESIOLOGY</t>
  </si>
  <si>
    <t>BUILDING X - SECURITY/SAFETY</t>
  </si>
  <si>
    <t>BUILDING Z - MAINTENANCE</t>
  </si>
  <si>
    <t>BUILDING 900 - RESTROOM BUILDING (SOCCER)</t>
  </si>
  <si>
    <t>BUILDING 910 - RESTROOM BUILDING (TRACK &amp; FIELD)</t>
  </si>
  <si>
    <t>BUILDING 920 - SOCCER STORAGE</t>
  </si>
  <si>
    <t>BUILDING 930 - FOOTBALL STORAGE</t>
  </si>
  <si>
    <t>BUILDING 940 - RESTROOM BUILDING (SOCCER)</t>
  </si>
  <si>
    <t>BUILDING 950 - ELECTRICAL</t>
  </si>
  <si>
    <t>BUILDING 960/Q - CONSESSION/RESTROOMS (BASEBALL)</t>
  </si>
  <si>
    <t>BUILDING 972 (G-114)  - WEIGHT PAVILLION</t>
  </si>
  <si>
    <t>BUILDING 973 (F-136)  - POOL STORAGE</t>
  </si>
  <si>
    <r>
      <t xml:space="preserve">Rancho Santiago Community College District
</t>
    </r>
    <r>
      <rPr>
        <b/>
        <sz val="16"/>
        <color theme="1"/>
        <rFont val="Calibri"/>
        <family val="2"/>
        <scheme val="minor"/>
      </rPr>
      <t>Repair &amp; Replacement Costs and Facilities Condition Index (FCI)</t>
    </r>
    <r>
      <rPr>
        <b/>
        <sz val="12"/>
        <color theme="1"/>
        <rFont val="Calibri"/>
        <family val="2"/>
        <scheme val="minor"/>
      </rPr>
      <t xml:space="preserve">
(</t>
    </r>
    <r>
      <rPr>
        <b/>
        <i/>
        <sz val="12"/>
        <color theme="1"/>
        <rFont val="Calibri"/>
        <family val="2"/>
        <scheme val="minor"/>
      </rPr>
      <t>FUSION 2018 Assessment; Facility Report, 25 January 2019</t>
    </r>
    <r>
      <rPr>
        <b/>
        <sz val="12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</si>
  <si>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Calibri"/>
        <family val="2"/>
        <scheme val="minor"/>
      </rPr>
      <t xml:space="preserve">P: </t>
    </r>
    <r>
      <rPr>
        <i/>
        <sz val="12"/>
        <color theme="1"/>
        <rFont val="Calibri"/>
        <family val="2"/>
        <scheme val="minor"/>
      </rPr>
      <t xml:space="preserve">M&amp;O Staff </t>
    </r>
    <r>
      <rPr>
        <sz val="9"/>
        <color theme="1"/>
        <rFont val="Calibri"/>
        <family val="2"/>
        <scheme val="minor"/>
      </rPr>
      <t>Annual escalation 3%</t>
    </r>
  </si>
  <si>
    <r>
      <rPr>
        <b/>
        <i/>
        <sz val="12"/>
        <color theme="1"/>
        <rFont val="Calibri"/>
        <family val="2"/>
        <scheme val="minor"/>
      </rPr>
      <t>E: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</si>
  <si>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 xml:space="preserve">OM&amp;R &amp; O: </t>
    </r>
    <r>
      <rPr>
        <i/>
        <sz val="12"/>
        <color theme="1"/>
        <rFont val="Calibri"/>
        <family val="2"/>
        <scheme val="minor"/>
      </rPr>
      <t xml:space="preserve">M&amp;O Expenditures </t>
    </r>
    <r>
      <rPr>
        <sz val="9"/>
        <color theme="1"/>
        <rFont val="Calibri"/>
        <family val="2"/>
        <scheme val="minor"/>
      </rPr>
      <t>Esc 3%</t>
    </r>
  </si>
  <si>
    <t>REPL Escalations</t>
  </si>
  <si>
    <t>RES Escalation</t>
  </si>
  <si>
    <t>E Escalation</t>
  </si>
  <si>
    <t>W Escalation</t>
  </si>
  <si>
    <t>Any projected increases/decreases</t>
  </si>
  <si>
    <t>O Escalation</t>
  </si>
  <si>
    <t>P Escalation</t>
  </si>
  <si>
    <t>FT Equivalent</t>
  </si>
  <si>
    <t>Projected Increase or Decrease in Custodial Staff</t>
  </si>
  <si>
    <t>BUILDING NAME/FACILITY</t>
  </si>
  <si>
    <t xml:space="preserve">SITE: </t>
  </si>
  <si>
    <t>Totals</t>
  </si>
  <si>
    <t>Total Site Acreage Grounds Only (Total Site Acreage- Total GSF)</t>
  </si>
  <si>
    <t>Total Gross Square Footage (GSF) FROM FUSION</t>
  </si>
  <si>
    <t>Total Assignable Square Footage (ASF) FROM FUSION</t>
  </si>
  <si>
    <t>Projected Increase or Decrease in Maintenance Staff</t>
  </si>
  <si>
    <t>Projected GSF per Maintenance Staff</t>
  </si>
  <si>
    <t xml:space="preserve">13.96 Acres
to SQFT = </t>
  </si>
  <si>
    <t>22.42 Acres
to SQFT =</t>
  </si>
  <si>
    <t xml:space="preserve">10.37 Acres
to SQFT =  </t>
  </si>
  <si>
    <t>7.96 Acres
to SQFT =</t>
  </si>
  <si>
    <t>42.6 Acres
to SQFT =</t>
  </si>
  <si>
    <t>Projected Increase or Decrease in Grounds Staff</t>
  </si>
  <si>
    <t>Source 2 FUSION 2018 Facilities Assessment + Escalation (30% through 2020, then 5% per annum)</t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</si>
  <si>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P</t>
    </r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</si>
  <si>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OM&amp;R &amp; O</t>
    </r>
  </si>
  <si>
    <r>
      <t xml:space="preserve">Historical Data </t>
    </r>
    <r>
      <rPr>
        <sz val="16"/>
        <color theme="1"/>
        <rFont val="Calibri"/>
        <family val="2"/>
        <scheme val="minor"/>
      </rPr>
      <t>2018-2019</t>
    </r>
  </si>
  <si>
    <r>
      <rPr>
        <b/>
        <sz val="12"/>
        <color theme="1"/>
        <rFont val="Calibri"/>
        <family val="2"/>
        <scheme val="minor"/>
      </rPr>
      <t>RES:</t>
    </r>
    <r>
      <rPr>
        <sz val="12"/>
        <color theme="1"/>
        <rFont val="Calibri"/>
        <family val="2"/>
        <scheme val="minor"/>
      </rPr>
      <t xml:space="preserve"> Present Value (Resale Value, Salvage Value</t>
    </r>
  </si>
  <si>
    <t>REPL-RES</t>
  </si>
  <si>
    <r>
      <t>% of</t>
    </r>
    <r>
      <rPr>
        <b/>
        <sz val="12"/>
        <color theme="1"/>
        <rFont val="Calibri"/>
        <family val="2"/>
        <scheme val="minor"/>
      </rPr>
      <t xml:space="preserve"> REPL</t>
    </r>
    <r>
      <rPr>
        <sz val="12"/>
        <color theme="1"/>
        <rFont val="Calibri"/>
        <family val="2"/>
        <scheme val="minor"/>
      </rPr>
      <t xml:space="preserve"> to calculate</t>
    </r>
    <r>
      <rPr>
        <b/>
        <sz val="12"/>
        <color theme="1"/>
        <rFont val="Calibri"/>
        <family val="2"/>
        <scheme val="minor"/>
      </rPr>
      <t xml:space="preserve"> RES</t>
    </r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</si>
  <si>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</si>
  <si>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</si>
  <si>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</si>
  <si>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</si>
  <si>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</si>
  <si>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</si>
  <si>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</si>
  <si>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</si>
  <si>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</si>
  <si>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Rancho Santiago Community College District</t>
  </si>
  <si>
    <t>Year 10</t>
  </si>
  <si>
    <t>Building's Gross Square Foot "GSF" (From FUSION)</t>
  </si>
  <si>
    <t>YEAR BUILT</t>
  </si>
  <si>
    <t>Populates automatically with changes to Custodial or Maintenance Staffing</t>
  </si>
  <si>
    <t>Total Site Acreage FROM FUSION</t>
  </si>
  <si>
    <t>fix escalation</t>
  </si>
  <si>
    <t>U</t>
  </si>
  <si>
    <r>
      <rPr>
        <b/>
        <i/>
        <sz val="12"/>
        <color theme="1"/>
        <rFont val="Calibri"/>
        <family val="2"/>
        <scheme val="minor"/>
      </rPr>
      <t xml:space="preserve">U: (W) </t>
    </r>
    <r>
      <rPr>
        <i/>
        <sz val="12"/>
        <color theme="1"/>
        <rFont val="Calibri"/>
        <family val="2"/>
        <scheme val="minor"/>
      </rPr>
      <t>Water/Sewer</t>
    </r>
    <r>
      <rPr>
        <sz val="9"/>
        <color theme="1"/>
        <rFont val="Calibri"/>
        <family val="2"/>
        <scheme val="minor"/>
      </rPr>
      <t xml:space="preserve"> Annual escalation 4%</t>
    </r>
  </si>
  <si>
    <r>
      <t>% Annual Escalation -</t>
    </r>
    <r>
      <rPr>
        <b/>
        <sz val="12"/>
        <color theme="1"/>
        <rFont val="Calibri"/>
        <family val="2"/>
        <scheme val="minor"/>
      </rPr>
      <t xml:space="preserve"> U</t>
    </r>
    <r>
      <rPr>
        <sz val="12"/>
        <color theme="1"/>
        <rFont val="Calibri"/>
        <family val="2"/>
        <scheme val="minor"/>
      </rPr>
      <t xml:space="preserve"> (</t>
    </r>
    <r>
      <rPr>
        <b/>
        <sz val="12"/>
        <color theme="1"/>
        <rFont val="Calibri"/>
        <family val="2"/>
        <scheme val="minor"/>
      </rPr>
      <t>E &amp; W)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</si>
  <si>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</si>
  <si>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Gas </t>
    </r>
    <r>
      <rPr>
        <sz val="9"/>
        <color theme="1"/>
        <rFont val="Calibri"/>
        <family val="2"/>
        <scheme val="minor"/>
      </rPr>
      <t>Annual escalation 4%</t>
    </r>
  </si>
  <si>
    <t>(Using APPA Staffing Formula)</t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</si>
  <si>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</si>
  <si>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</si>
  <si>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 xml:space="preserve">LEVEL 3 </t>
    </r>
    <r>
      <rPr>
        <b/>
        <sz val="11"/>
        <color theme="1"/>
        <rFont val="Calibri"/>
        <family val="2"/>
        <scheme val="minor"/>
      </rPr>
      <t>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</si>
  <si>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</si>
  <si>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</si>
  <si>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t>Grounds level that should be met based on APPA Standard</t>
  </si>
  <si>
    <t>To increase or decrease projected Grounds Staff, use the yellow fillable box in the table below.</t>
  </si>
  <si>
    <t>To increase or decrease projected Custodial Staff, use the yellow fillable box in the table below.</t>
  </si>
  <si>
    <t>Maintenance Level that should be met based on
APPA Standard</t>
  </si>
  <si>
    <t>Cleaning Level that should be met based on APPA Standard</t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</si>
  <si>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</si>
  <si>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</si>
  <si>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</si>
  <si>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</si>
  <si>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</si>
  <si>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Projected 
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</si>
  <si>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Projected 
Cleaning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</si>
  <si>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 Campus Level: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</si>
  <si>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 xml:space="preserve">Custodial </t>
    </r>
    <r>
      <rPr>
        <sz val="11"/>
        <color theme="1"/>
        <rFont val="Calibri"/>
        <family val="2"/>
        <scheme val="minor"/>
      </rPr>
      <t>Campus Level:</t>
    </r>
  </si>
  <si>
    <t>Campus Maintenance (GSF/FTE)</t>
  </si>
  <si>
    <t>OM&amp;R Escalation</t>
  </si>
  <si>
    <t>Multiplier</t>
  </si>
  <si>
    <r>
      <rPr>
        <b/>
        <sz val="12"/>
        <color theme="1"/>
        <rFont val="Calibri"/>
        <family val="2"/>
        <scheme val="minor"/>
      </rPr>
      <t>W:</t>
    </r>
    <r>
      <rPr>
        <sz val="12"/>
        <color theme="1"/>
        <rFont val="Calibri"/>
        <family val="2"/>
        <scheme val="minor"/>
      </rPr>
      <t>Water/Sewer</t>
    </r>
  </si>
  <si>
    <r>
      <t xml:space="preserve">Campus Goal APPA Level: </t>
    </r>
    <r>
      <rPr>
        <b/>
        <sz val="12"/>
        <rFont val="Calibri"/>
        <family val="2"/>
        <scheme val="minor"/>
      </rPr>
      <t>3</t>
    </r>
  </si>
  <si>
    <r>
      <t>Campus Goal APPA Level:</t>
    </r>
    <r>
      <rPr>
        <b/>
        <sz val="12"/>
        <rFont val="Calibri"/>
        <family val="2"/>
        <scheme val="minor"/>
      </rPr>
      <t xml:space="preserve"> 3</t>
    </r>
  </si>
  <si>
    <t>10-YEAR PROJECTION</t>
  </si>
  <si>
    <r>
      <rPr>
        <b/>
        <i/>
        <sz val="12"/>
        <color theme="1"/>
        <rFont val="Calibri"/>
        <family val="2"/>
        <scheme val="minor"/>
      </rPr>
      <t xml:space="preserve">Future Renovations/Upgrades* </t>
    </r>
    <r>
      <rPr>
        <i/>
        <sz val="12"/>
        <color theme="1"/>
        <rFont val="Calibri"/>
        <family val="2"/>
        <scheme val="minor"/>
      </rPr>
      <t xml:space="preserve">
(Scheduled Maintenance &amp; Repairs)</t>
    </r>
  </si>
  <si>
    <t xml:space="preserve">*For Future Renovations/Upgrades, refer to FUSION and the Assessment Schedule.  Enter the amount of the deficiency/repair/replacement under the year it will be addressed. </t>
  </si>
  <si>
    <r>
      <t xml:space="preserve">Annual </t>
    </r>
    <r>
      <rPr>
        <b/>
        <sz val="11"/>
        <color theme="1"/>
        <rFont val="Calibri"/>
        <family val="2"/>
        <scheme val="minor"/>
      </rPr>
      <t>Water</t>
    </r>
    <r>
      <rPr>
        <sz val="11"/>
        <color theme="1"/>
        <rFont val="Calibri"/>
        <family val="2"/>
        <scheme val="minor"/>
      </rPr>
      <t xml:space="preserve"> Usage (includes landscaping)</t>
    </r>
  </si>
  <si>
    <t>Year Built</t>
  </si>
  <si>
    <r>
      <rPr>
        <b/>
        <sz val="11"/>
        <color theme="1"/>
        <rFont val="Calibri"/>
        <family val="2"/>
        <scheme val="minor"/>
      </rPr>
      <t>(U) Utilities</t>
    </r>
    <r>
      <rPr>
        <sz val="11"/>
        <color theme="1"/>
        <rFont val="Calibri"/>
        <family val="2"/>
        <scheme val="minor"/>
      </rPr>
      <t xml:space="preserve"> = (E+W)</t>
    </r>
  </si>
  <si>
    <t>EXISTING CUSTODIAL STAFF and Recommended APPA Staffing Standards</t>
  </si>
  <si>
    <t>EXISTING MAINTENANCE STAFF and Recommended APPA Staffing Standards</t>
  </si>
  <si>
    <t>EXISTING GROUNDS STAFF and Recommended APPA Staffing Standards</t>
  </si>
  <si>
    <t>Interactive Section For Projections</t>
  </si>
  <si>
    <t xml:space="preserve">Note:  The values in the gray areas were not included in the FUSION assessment.  Value recommended by 3rd Party Estimator. </t>
  </si>
  <si>
    <t>Santa Ana College</t>
  </si>
  <si>
    <t>Select fiscal year from dropdown list above and enter data in yellow boxes below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</si>
  <si>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</si>
  <si>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</si>
  <si>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</si>
  <si>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</si>
  <si>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</si>
  <si>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</si>
  <si>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</si>
  <si>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</si>
  <si>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</si>
  <si>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</si>
  <si>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Historical
Fiscal Year</t>
  </si>
  <si>
    <t>Future
Renovations
&amp; Upgrades</t>
  </si>
  <si>
    <r>
      <t xml:space="preserve">Annual </t>
    </r>
    <r>
      <rPr>
        <b/>
        <sz val="11"/>
        <color theme="1"/>
        <rFont val="Calibri"/>
        <family val="2"/>
        <scheme val="minor"/>
      </rPr>
      <t>Energy</t>
    </r>
    <r>
      <rPr>
        <sz val="11"/>
        <color theme="1"/>
        <rFont val="Calibri"/>
        <family val="2"/>
        <scheme val="minor"/>
      </rPr>
      <t xml:space="preserve"> Usage (SCE)</t>
    </r>
  </si>
  <si>
    <r>
      <t xml:space="preserve">Annual </t>
    </r>
    <r>
      <rPr>
        <b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 xml:space="preserve"> Usage (SCG)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</si>
  <si>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</si>
  <si>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</si>
  <si>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</si>
  <si>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</si>
  <si>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 xml:space="preserve">LEVEL 5 </t>
    </r>
    <r>
      <rPr>
        <b/>
        <sz val="11"/>
        <color theme="1"/>
        <rFont val="Calibri"/>
        <family val="2"/>
        <scheme val="minor"/>
      </rPr>
      <t>APPA Standard</t>
    </r>
  </si>
  <si>
    <t>Unkempt Neglect</t>
  </si>
  <si>
    <t>Custodian Salaries</t>
  </si>
  <si>
    <t>Average Custodian Salaries per Square Foot of GSF</t>
  </si>
  <si>
    <t>CUSTODIAL STAFFING PROJECTIONS AND SALARIES</t>
  </si>
  <si>
    <t>Fiscal Year Custodial Salaries per GSF</t>
  </si>
  <si>
    <t>Projected Total Salaries for Custodial Staffing</t>
  </si>
  <si>
    <t xml:space="preserve"> Projected Maintenance and Operations Expenses (by Building) </t>
  </si>
  <si>
    <t xml:space="preserve">Sub Total Building Operating &amp; Repair Expenses </t>
  </si>
  <si>
    <t>Total Building Operating &amp; Repair Expenses</t>
  </si>
  <si>
    <t>Description of Expenses</t>
  </si>
  <si>
    <t>Projected Site Expenses = U + OM&amp;R + O + P</t>
  </si>
  <si>
    <t xml:space="preserve">     (E) is Present Value of Energy Expenses combined (Gas and Electricity) Average Expense per GSF </t>
  </si>
  <si>
    <t>Projected Expenses after
10 Years</t>
  </si>
  <si>
    <t>Projected Expenses after
20 Years</t>
  </si>
  <si>
    <t>CAMPUSWIDE HISTORICAL &amp; PROJECTED EXPENSES</t>
  </si>
  <si>
    <t>Maintenance Personnel Salaries</t>
  </si>
  <si>
    <t>Grounds Personnel Salaries</t>
  </si>
  <si>
    <t>Average Maintenance Salaries per Square Foot of GSF</t>
  </si>
  <si>
    <t>Average Grounds Salaries per Site Acreage (Grounds Only) in SQFT</t>
  </si>
  <si>
    <t>Conversion to Expense per SQ FT</t>
  </si>
  <si>
    <t>Average Expense per GSF +  Average Expense per Site Acreage in SQFT</t>
  </si>
  <si>
    <t>Average Expense Per Square Foot of Site Acreage in SQFT</t>
  </si>
  <si>
    <t>Average Expense Per Square Foot of GSF</t>
  </si>
  <si>
    <t>Fiscal Year Annualized Salaries for Custodians</t>
  </si>
  <si>
    <t>Projected Increase or Decrease in Custodial Staffing Salaries</t>
  </si>
  <si>
    <t>MAINTENANCE STAFFING PROJECTIONS AND SALARIES</t>
  </si>
  <si>
    <t>Fiscal Year Annualized Salaries for Maintenance Staff</t>
  </si>
  <si>
    <t>Fiscal Year Maintenance Staff Salaries per GSF</t>
  </si>
  <si>
    <t>Projected Increase or Decrease in Maintenance Staffing Salaries</t>
  </si>
  <si>
    <t>Projected Total Salaries for Maintenance Staffing</t>
  </si>
  <si>
    <t>GROUNDS STAFFING PROJECTIONS AND SALARIES</t>
  </si>
  <si>
    <t>Fiscal Year Annualized Salaries for Grounds Staff</t>
  </si>
  <si>
    <t>Fiscal Year Grounds Salaries per SQFT</t>
  </si>
  <si>
    <t>Projected Increase or Decrease in Grounds Staffing Salaries</t>
  </si>
  <si>
    <t>Projected Total Salaries for Grounds Staffing</t>
  </si>
  <si>
    <r>
      <rPr>
        <b/>
        <sz val="11"/>
        <color theme="1"/>
        <rFont val="Calibri"/>
        <family val="2"/>
        <scheme val="minor"/>
      </rPr>
      <t>(OM&amp;R)</t>
    </r>
    <r>
      <rPr>
        <sz val="11"/>
        <color theme="1"/>
        <rFont val="Calibri"/>
        <family val="2"/>
        <scheme val="minor"/>
      </rPr>
      <t xml:space="preserve"> = Present Value of Operating, Maintenance &amp; Repairs; 
         Average Expense per square foot is Total OM&amp;R/Total Campus GSF</t>
    </r>
  </si>
  <si>
    <r>
      <rPr>
        <b/>
        <sz val="11"/>
        <color theme="1"/>
        <rFont val="Calibri"/>
        <family val="2"/>
        <scheme val="minor"/>
      </rPr>
      <t xml:space="preserve">(P) </t>
    </r>
    <r>
      <rPr>
        <sz val="11"/>
        <color theme="1"/>
        <rFont val="Calibri"/>
        <family val="2"/>
        <scheme val="minor"/>
      </rPr>
      <t xml:space="preserve"> = Payroll Salaries of Custodial, Maintenance, Grounds &amp; Management Personnel 
         Average Expense per square foot including grounds </t>
    </r>
  </si>
  <si>
    <t>Science Center REPL: Built after 2018 Assessment - use Construction Hard Expenses for 2021 then escalation 5% per annum</t>
  </si>
  <si>
    <r>
      <rPr>
        <b/>
        <sz val="11"/>
        <color theme="1"/>
        <rFont val="Calibri"/>
        <family val="2"/>
        <scheme val="minor"/>
      </rPr>
      <t xml:space="preserve">(O) </t>
    </r>
    <r>
      <rPr>
        <sz val="11"/>
        <color theme="1"/>
        <rFont val="Calibri"/>
        <family val="2"/>
        <scheme val="minor"/>
      </rPr>
      <t xml:space="preserve"> = Present Value of other known expenses (Contract Services) Average Expense per GSF</t>
    </r>
  </si>
  <si>
    <t>Manager's Salaries</t>
  </si>
  <si>
    <t>Average Manager's Salaries per Square Foot of GSF</t>
  </si>
  <si>
    <t>To increase or decrease projected Maintenance Staff, use the yellow fillable box in the table below.</t>
  </si>
  <si>
    <r>
      <t xml:space="preserve">
Maintenance</t>
    </r>
    <r>
      <rPr>
        <b/>
        <sz val="14"/>
        <color theme="1"/>
        <rFont val="Calibri"/>
        <family val="2"/>
        <scheme val="minor"/>
      </rPr>
      <t xml:space="preserve"> 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</si>
  <si>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t xml:space="preserve">     (W) is Present Value of Water Expenses per Site Acreage converted to sqft;  Avg. Expense per sqft</t>
  </si>
  <si>
    <t>Developed by Facility Planning, Construction &amp; District Support Services at RSCCD</t>
  </si>
  <si>
    <t>Historical FY</t>
  </si>
  <si>
    <t>HISTORICAL FISCAL YEAR &amp; PROJECTED STAFFING WORKSHEET</t>
  </si>
  <si>
    <t>HISTORICAL FY</t>
  </si>
  <si>
    <t>Historical FY:</t>
  </si>
  <si>
    <t xml:space="preserve">
Historical
Fiscal Year
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</si>
</sst>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"/>
    <numFmt numFmtId="165" formatCode="0.0000"/>
    <numFmt numFmtId="166" formatCode="&quot;$&quot;#,##0.00"/>
    <numFmt numFmtId="167" formatCode="&quot;$&quot;#,##0"/>
    <numFmt numFmtId="168" formatCode="&quot;$&quot;#,##0.0000"/>
    <numFmt numFmtId="169" formatCode="#,##0.0000"/>
    <numFmt numFmtId="170" formatCode="_(&quot;$&quot;* #,##0.0000_);_(&quot;$&quot;* \(#,##0.0000\);_(&quot;$&quot;* &quot;-&quot;????_);_(@_)"/>
    <numFmt numFmtId="171" formatCode="0.0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b/>
      <sz val="12"/>
      <color rgb="FFFB46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 "/>
    </font>
    <font>
      <b/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</font>
    <font>
      <sz val="28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6">
    <xf numFmtId="0" fontId="0" fillId="0" borderId="0" xfId="0"/>
    <xf numFmtId="0" fontId="0" fillId="10" borderId="0" xfId="0" applyFill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6" borderId="0" xfId="0" applyFill="1"/>
    <xf numFmtId="0" fontId="0" fillId="13" borderId="1" xfId="0" applyFill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0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13" borderId="1" xfId="0" applyNumberFormat="1" applyFill="1" applyBorder="1" applyAlignment="1">
      <alignment horizontal="right"/>
    </xf>
    <xf numFmtId="0" fontId="0" fillId="0" borderId="43" xfId="0" applyBorder="1"/>
    <xf numFmtId="0" fontId="1" fillId="0" borderId="1" xfId="0" applyFont="1" applyBorder="1" applyAlignment="1">
      <alignment horizontal="center"/>
    </xf>
    <xf numFmtId="0" fontId="21" fillId="0" borderId="0" xfId="0" applyFont="1"/>
    <xf numFmtId="0" fontId="20" fillId="9" borderId="4" xfId="0" applyFont="1" applyFill="1" applyBorder="1" applyProtection="1">
      <protection locked="0"/>
    </xf>
    <xf numFmtId="3" fontId="0" fillId="9" borderId="4" xfId="0" applyNumberFormat="1" applyFill="1" applyBorder="1" applyProtection="1">
      <protection locked="0"/>
    </xf>
    <xf numFmtId="4" fontId="0" fillId="9" borderId="4" xfId="0" applyNumberFormat="1" applyFill="1" applyBorder="1" applyProtection="1">
      <protection locked="0"/>
    </xf>
    <xf numFmtId="167" fontId="20" fillId="9" borderId="44" xfId="0" applyNumberFormat="1" applyFont="1" applyFill="1" applyBorder="1" applyProtection="1">
      <protection locked="0"/>
    </xf>
    <xf numFmtId="167" fontId="20" fillId="9" borderId="45" xfId="0" applyNumberFormat="1" applyFont="1" applyFill="1" applyBorder="1" applyProtection="1">
      <protection locked="0"/>
    </xf>
    <xf numFmtId="167" fontId="20" fillId="9" borderId="47" xfId="0" applyNumberFormat="1" applyFont="1" applyFill="1" applyBorder="1" applyProtection="1">
      <protection locked="0"/>
    </xf>
    <xf numFmtId="167" fontId="20" fillId="9" borderId="46" xfId="0" applyNumberFormat="1" applyFont="1" applyFill="1" applyBorder="1" applyProtection="1">
      <protection locked="0"/>
    </xf>
    <xf numFmtId="167" fontId="20" fillId="9" borderId="48" xfId="0" applyNumberFormat="1" applyFont="1" applyFill="1" applyBorder="1" applyProtection="1">
      <protection locked="0"/>
    </xf>
    <xf numFmtId="167" fontId="20" fillId="9" borderId="4" xfId="0" applyNumberFormat="1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6" fillId="0" borderId="9" xfId="0" applyFont="1" applyBorder="1"/>
    <xf numFmtId="0" fontId="1" fillId="3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1" fillId="5" borderId="5" xfId="0" applyFont="1" applyFill="1" applyBorder="1"/>
    <xf numFmtId="0" fontId="0" fillId="5" borderId="6" xfId="0" applyFill="1" applyBorder="1"/>
    <xf numFmtId="0" fontId="0" fillId="16" borderId="6" xfId="0" applyFill="1" applyBorder="1"/>
    <xf numFmtId="0" fontId="0" fillId="16" borderId="7" xfId="0" applyFill="1" applyBorder="1"/>
    <xf numFmtId="0" fontId="0" fillId="16" borderId="0" xfId="0" applyFill="1" applyAlignment="1">
      <alignment horizontal="center"/>
    </xf>
    <xf numFmtId="42" fontId="0" fillId="16" borderId="4" xfId="0" quotePrefix="1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13" borderId="1" xfId="0" applyNumberFormat="1" applyFill="1" applyBorder="1"/>
    <xf numFmtId="4" fontId="0" fillId="17" borderId="1" xfId="0" applyNumberFormat="1" applyFill="1" applyBorder="1" applyAlignment="1">
      <alignment horizontal="right"/>
    </xf>
    <xf numFmtId="0" fontId="27" fillId="0" borderId="0" xfId="0" quotePrefix="1" applyFont="1" applyAlignment="1">
      <alignment horizontal="center"/>
    </xf>
    <xf numFmtId="3" fontId="27" fillId="0" borderId="0" xfId="0" applyNumberFormat="1" applyFont="1" applyAlignment="1">
      <alignment horizontal="center"/>
    </xf>
    <xf numFmtId="164" fontId="27" fillId="0" borderId="0" xfId="0" quotePrefix="1" applyNumberFormat="1" applyFont="1" applyAlignment="1">
      <alignment horizontal="center"/>
    </xf>
    <xf numFmtId="3" fontId="27" fillId="0" borderId="0" xfId="0" quotePrefix="1" applyNumberFormat="1" applyFont="1" applyAlignment="1">
      <alignment horizontal="center"/>
    </xf>
    <xf numFmtId="166" fontId="28" fillId="0" borderId="0" xfId="0" applyNumberFormat="1" applyFont="1"/>
    <xf numFmtId="165" fontId="28" fillId="0" borderId="0" xfId="0" applyNumberFormat="1" applyFont="1"/>
    <xf numFmtId="0" fontId="1" fillId="13" borderId="43" xfId="0" applyFont="1" applyFill="1" applyBorder="1"/>
    <xf numFmtId="0" fontId="1" fillId="13" borderId="27" xfId="0" applyFont="1" applyFill="1" applyBorder="1"/>
    <xf numFmtId="0" fontId="0" fillId="9" borderId="6" xfId="0" applyFill="1" applyBorder="1"/>
    <xf numFmtId="4" fontId="0" fillId="17" borderId="1" xfId="0" applyNumberFormat="1" applyFill="1" applyBorder="1"/>
    <xf numFmtId="2" fontId="0" fillId="17" borderId="1" xfId="0" applyNumberForma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9" xfId="0" applyBorder="1"/>
    <xf numFmtId="0" fontId="0" fillId="5" borderId="7" xfId="0" applyFill="1" applyBorder="1"/>
    <xf numFmtId="0" fontId="0" fillId="0" borderId="3" xfId="0" applyBorder="1"/>
    <xf numFmtId="0" fontId="1" fillId="13" borderId="42" xfId="0" applyFont="1" applyFill="1" applyBorder="1" applyAlignment="1">
      <alignment horizontal="center"/>
    </xf>
    <xf numFmtId="3" fontId="3" fillId="9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9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/>
    <xf numFmtId="0" fontId="1" fillId="3" borderId="5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4" fillId="3" borderId="5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3" fontId="17" fillId="4" borderId="55" xfId="0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3" fontId="17" fillId="7" borderId="1" xfId="0" applyNumberFormat="1" applyFont="1" applyFill="1" applyBorder="1" applyAlignment="1">
      <alignment horizontal="center"/>
    </xf>
    <xf numFmtId="3" fontId="17" fillId="8" borderId="1" xfId="0" applyNumberFormat="1" applyFont="1" applyFill="1" applyBorder="1" applyAlignment="1">
      <alignment horizontal="center"/>
    </xf>
    <xf numFmtId="0" fontId="30" fillId="2" borderId="39" xfId="0" applyFont="1" applyFill="1" applyBorder="1"/>
    <xf numFmtId="0" fontId="30" fillId="2" borderId="0" xfId="0" applyFont="1" applyFill="1"/>
    <xf numFmtId="0" fontId="1" fillId="13" borderId="5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  <xf numFmtId="0" fontId="1" fillId="13" borderId="4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13" borderId="27" xfId="0" applyFont="1" applyFill="1" applyBorder="1" applyAlignment="1">
      <alignment horizontal="center" wrapText="1"/>
    </xf>
    <xf numFmtId="0" fontId="1" fillId="13" borderId="42" xfId="0" applyFont="1" applyFill="1" applyBorder="1" applyAlignment="1">
      <alignment horizontal="center" wrapText="1"/>
    </xf>
    <xf numFmtId="0" fontId="1" fillId="13" borderId="58" xfId="0" applyFont="1" applyFill="1" applyBorder="1" applyAlignment="1">
      <alignment horizontal="center" wrapText="1"/>
    </xf>
    <xf numFmtId="0" fontId="21" fillId="15" borderId="55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center"/>
    </xf>
    <xf numFmtId="3" fontId="19" fillId="15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center"/>
    </xf>
    <xf numFmtId="0" fontId="19" fillId="15" borderId="54" xfId="0" quotePrefix="1" applyFont="1" applyFill="1" applyBorder="1" applyAlignment="1">
      <alignment horizontal="center"/>
    </xf>
    <xf numFmtId="164" fontId="19" fillId="15" borderId="42" xfId="0" quotePrefix="1" applyNumberFormat="1" applyFont="1" applyFill="1" applyBorder="1" applyAlignment="1">
      <alignment horizontal="center"/>
    </xf>
    <xf numFmtId="3" fontId="19" fillId="15" borderId="42" xfId="0" applyNumberFormat="1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167" fontId="19" fillId="15" borderId="1" xfId="0" applyNumberFormat="1" applyFont="1" applyFill="1" applyBorder="1"/>
    <xf numFmtId="165" fontId="19" fillId="15" borderId="42" xfId="0" applyNumberFormat="1" applyFont="1" applyFill="1" applyBorder="1"/>
    <xf numFmtId="167" fontId="19" fillId="15" borderId="42" xfId="0" applyNumberFormat="1" applyFont="1" applyFill="1" applyBorder="1"/>
    <xf numFmtId="167" fontId="19" fillId="15" borderId="58" xfId="0" applyNumberFormat="1" applyFont="1" applyFill="1" applyBorder="1"/>
    <xf numFmtId="0" fontId="3" fillId="2" borderId="2" xfId="0" quotePrefix="1" applyFont="1" applyFill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164" fontId="29" fillId="0" borderId="16" xfId="0" applyNumberFormat="1" applyFont="1" applyBorder="1" applyAlignment="1">
      <alignment horizontal="center"/>
    </xf>
    <xf numFmtId="0" fontId="29" fillId="0" borderId="16" xfId="0" quotePrefix="1" applyFont="1" applyBorder="1" applyAlignment="1">
      <alignment horizontal="center"/>
    </xf>
    <xf numFmtId="0" fontId="29" fillId="0" borderId="0" xfId="0" quotePrefix="1" applyFont="1" applyAlignment="1">
      <alignment horizontal="center"/>
    </xf>
    <xf numFmtId="164" fontId="29" fillId="0" borderId="0" xfId="0" quotePrefix="1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0" xfId="0" quotePrefix="1" applyNumberFormat="1" applyFont="1" applyAlignment="1">
      <alignment horizontal="center"/>
    </xf>
    <xf numFmtId="166" fontId="30" fillId="0" borderId="0" xfId="0" applyNumberFormat="1" applyFont="1"/>
    <xf numFmtId="165" fontId="30" fillId="0" borderId="0" xfId="0" applyNumberFormat="1" applyFont="1"/>
    <xf numFmtId="166" fontId="30" fillId="0" borderId="30" xfId="0" applyNumberFormat="1" applyFont="1" applyBorder="1"/>
    <xf numFmtId="3" fontId="17" fillId="4" borderId="1" xfId="0" applyNumberFormat="1" applyFont="1" applyFill="1" applyBorder="1" applyAlignment="1">
      <alignment horizontal="center"/>
    </xf>
    <xf numFmtId="0" fontId="28" fillId="2" borderId="0" xfId="0" applyFont="1" applyFill="1"/>
    <xf numFmtId="0" fontId="0" fillId="2" borderId="0" xfId="0" applyFill="1"/>
    <xf numFmtId="0" fontId="19" fillId="2" borderId="2" xfId="0" quotePrefix="1" applyFont="1" applyFill="1" applyBorder="1" applyAlignment="1">
      <alignment horizontal="center"/>
    </xf>
    <xf numFmtId="0" fontId="1" fillId="13" borderId="54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3" fillId="0" borderId="29" xfId="0" quotePrefix="1" applyFont="1" applyBorder="1" applyAlignment="1">
      <alignment horizontal="center"/>
    </xf>
    <xf numFmtId="164" fontId="3" fillId="0" borderId="29" xfId="0" quotePrefix="1" applyNumberFormat="1" applyFont="1" applyBorder="1" applyAlignment="1">
      <alignment horizontal="center"/>
    </xf>
    <xf numFmtId="3" fontId="17" fillId="4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3" fontId="17" fillId="6" borderId="1" xfId="0" applyNumberFormat="1" applyFont="1" applyFill="1" applyBorder="1" applyAlignment="1">
      <alignment horizontal="center" wrapText="1"/>
    </xf>
    <xf numFmtId="3" fontId="17" fillId="7" borderId="1" xfId="0" applyNumberFormat="1" applyFont="1" applyFill="1" applyBorder="1" applyAlignment="1">
      <alignment horizontal="center" wrapText="1"/>
    </xf>
    <xf numFmtId="3" fontId="17" fillId="11" borderId="1" xfId="0" applyNumberFormat="1" applyFont="1" applyFill="1" applyBorder="1" applyAlignment="1">
      <alignment horizontal="center" wrapText="1"/>
    </xf>
    <xf numFmtId="0" fontId="1" fillId="13" borderId="28" xfId="0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/>
    </xf>
    <xf numFmtId="3" fontId="0" fillId="9" borderId="50" xfId="0" applyNumberFormat="1" applyFill="1" applyBorder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166" fontId="0" fillId="0" borderId="3" xfId="0" applyNumberFormat="1" applyBorder="1"/>
    <xf numFmtId="167" fontId="0" fillId="4" borderId="0" xfId="0" applyNumberFormat="1" applyFill="1"/>
    <xf numFmtId="168" fontId="0" fillId="4" borderId="0" xfId="0" applyNumberFormat="1" applyFill="1"/>
    <xf numFmtId="0" fontId="0" fillId="9" borderId="0" xfId="0" applyFill="1"/>
    <xf numFmtId="168" fontId="0" fillId="9" borderId="0" xfId="0" applyNumberFormat="1" applyFill="1"/>
    <xf numFmtId="0" fontId="9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3" fillId="0" borderId="0" xfId="0" applyFont="1"/>
    <xf numFmtId="0" fontId="15" fillId="0" borderId="0" xfId="0" applyFont="1"/>
    <xf numFmtId="0" fontId="4" fillId="13" borderId="1" xfId="0" applyFont="1" applyFill="1" applyBorder="1" applyAlignment="1">
      <alignment horizontal="center"/>
    </xf>
    <xf numFmtId="0" fontId="10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4" fontId="3" fillId="0" borderId="13" xfId="0" applyNumberFormat="1" applyFont="1" applyBorder="1" applyAlignment="1">
      <alignment horizontal="right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9" fontId="22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9" fontId="22" fillId="0" borderId="0" xfId="0" applyNumberFormat="1" applyFont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13" borderId="4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2" fontId="4" fillId="5" borderId="42" xfId="0" applyNumberFormat="1" applyFont="1" applyFill="1" applyBorder="1" applyAlignment="1">
      <alignment horizontal="right" vertical="center" wrapText="1"/>
    </xf>
    <xf numFmtId="5" fontId="3" fillId="17" borderId="20" xfId="0" applyNumberFormat="1" applyFont="1" applyFill="1" applyBorder="1" applyAlignment="1">
      <alignment horizontal="right" vertical="center" wrapText="1"/>
    </xf>
    <xf numFmtId="5" fontId="3" fillId="17" borderId="37" xfId="0" applyNumberFormat="1" applyFont="1" applyFill="1" applyBorder="1" applyAlignment="1">
      <alignment horizontal="right" vertical="center" wrapText="1"/>
    </xf>
    <xf numFmtId="0" fontId="0" fillId="0" borderId="4" xfId="0" applyBorder="1"/>
    <xf numFmtId="37" fontId="3" fillId="17" borderId="4" xfId="0" applyNumberFormat="1" applyFont="1" applyFill="1" applyBorder="1" applyAlignment="1">
      <alignment horizontal="right" vertical="center" wrapText="1"/>
    </xf>
    <xf numFmtId="37" fontId="3" fillId="17" borderId="5" xfId="0" applyNumberFormat="1" applyFont="1" applyFill="1" applyBorder="1" applyAlignment="1">
      <alignment horizontal="right" vertical="center" wrapText="1"/>
    </xf>
    <xf numFmtId="5" fontId="3" fillId="17" borderId="4" xfId="0" applyNumberFormat="1" applyFont="1" applyFill="1" applyBorder="1" applyAlignment="1">
      <alignment horizontal="right" vertical="center" wrapText="1"/>
    </xf>
    <xf numFmtId="5" fontId="3" fillId="17" borderId="5" xfId="0" applyNumberFormat="1" applyFont="1" applyFill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53" xfId="0" applyNumberFormat="1" applyFont="1" applyBorder="1" applyAlignment="1">
      <alignment horizontal="right" vertical="center" wrapText="1"/>
    </xf>
    <xf numFmtId="3" fontId="3" fillId="14" borderId="5" xfId="0" applyNumberFormat="1" applyFont="1" applyFill="1" applyBorder="1" applyAlignment="1">
      <alignment horizontal="right" vertical="center" wrapText="1"/>
    </xf>
    <xf numFmtId="3" fontId="3" fillId="14" borderId="6" xfId="0" applyNumberFormat="1" applyFont="1" applyFill="1" applyBorder="1" applyAlignment="1">
      <alignment horizontal="right" vertical="center" wrapText="1"/>
    </xf>
    <xf numFmtId="0" fontId="0" fillId="13" borderId="4" xfId="0" applyFill="1" applyBorder="1"/>
    <xf numFmtId="3" fontId="10" fillId="5" borderId="50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1" fillId="13" borderId="26" xfId="0" applyFont="1" applyFill="1" applyBorder="1" applyAlignment="1">
      <alignment horizontal="center" vertical="center"/>
    </xf>
    <xf numFmtId="0" fontId="1" fillId="13" borderId="53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3" fontId="3" fillId="13" borderId="4" xfId="0" applyNumberFormat="1" applyFont="1" applyFill="1" applyBorder="1" applyAlignment="1">
      <alignment horizontal="right" vertical="center" wrapText="1"/>
    </xf>
    <xf numFmtId="42" fontId="0" fillId="0" borderId="8" xfId="0" applyNumberFormat="1" applyBorder="1" applyProtection="1">
      <protection hidden="1"/>
    </xf>
    <xf numFmtId="167" fontId="0" fillId="0" borderId="8" xfId="0" applyNumberFormat="1" applyBorder="1" applyProtection="1">
      <protection hidden="1"/>
    </xf>
    <xf numFmtId="42" fontId="18" fillId="0" borderId="0" xfId="0" applyNumberFormat="1" applyFont="1" applyProtection="1">
      <protection hidden="1"/>
    </xf>
    <xf numFmtId="44" fontId="0" fillId="0" borderId="0" xfId="0" applyNumberFormat="1" applyProtection="1">
      <protection hidden="1"/>
    </xf>
    <xf numFmtId="42" fontId="0" fillId="0" borderId="0" xfId="0" applyNumberFormat="1" applyProtection="1">
      <protection hidden="1"/>
    </xf>
    <xf numFmtId="42" fontId="1" fillId="0" borderId="1" xfId="0" applyNumberFormat="1" applyFont="1" applyBorder="1" applyProtection="1">
      <protection hidden="1"/>
    </xf>
    <xf numFmtId="42" fontId="0" fillId="0" borderId="17" xfId="0" applyNumberFormat="1" applyBorder="1" applyProtection="1">
      <protection hidden="1"/>
    </xf>
    <xf numFmtId="42" fontId="1" fillId="0" borderId="27" xfId="0" applyNumberFormat="1" applyFont="1" applyBorder="1" applyProtection="1">
      <protection hidden="1"/>
    </xf>
    <xf numFmtId="3" fontId="0" fillId="3" borderId="8" xfId="0" applyNumberFormat="1" applyFill="1" applyBorder="1" applyProtection="1">
      <protection hidden="1"/>
    </xf>
    <xf numFmtId="3" fontId="0" fillId="3" borderId="1" xfId="0" applyNumberFormat="1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27" xfId="0" applyFill="1" applyBorder="1" applyAlignment="1" applyProtection="1">
      <alignment horizontal="center"/>
      <protection hidden="1"/>
    </xf>
    <xf numFmtId="167" fontId="0" fillId="3" borderId="1" xfId="0" applyNumberFormat="1" applyFill="1" applyBorder="1" applyProtection="1">
      <protection hidden="1"/>
    </xf>
    <xf numFmtId="167" fontId="0" fillId="3" borderId="27" xfId="0" applyNumberFormat="1" applyFill="1" applyBorder="1" applyProtection="1">
      <protection hidden="1"/>
    </xf>
    <xf numFmtId="167" fontId="1" fillId="3" borderId="1" xfId="0" applyNumberFormat="1" applyFont="1" applyFill="1" applyBorder="1" applyProtection="1">
      <protection hidden="1"/>
    </xf>
    <xf numFmtId="168" fontId="0" fillId="3" borderId="1" xfId="0" applyNumberFormat="1" applyFill="1" applyBorder="1" applyProtection="1">
      <protection hidden="1"/>
    </xf>
    <xf numFmtId="168" fontId="1" fillId="3" borderId="1" xfId="0" applyNumberFormat="1" applyFont="1" applyFill="1" applyBorder="1" applyProtection="1">
      <protection hidden="1"/>
    </xf>
    <xf numFmtId="168" fontId="1" fillId="3" borderId="49" xfId="0" applyNumberFormat="1" applyFont="1" applyFill="1" applyBorder="1" applyProtection="1">
      <protection hidden="1"/>
    </xf>
    <xf numFmtId="3" fontId="3" fillId="0" borderId="36" xfId="0" applyNumberFormat="1" applyFont="1" applyBorder="1" applyProtection="1">
      <protection hidden="1"/>
    </xf>
    <xf numFmtId="3" fontId="4" fillId="0" borderId="1" xfId="0" applyNumberFormat="1" applyFont="1" applyBorder="1" applyAlignment="1" applyProtection="1">
      <alignment horizontal="right"/>
      <protection hidden="1"/>
    </xf>
    <xf numFmtId="41" fontId="10" fillId="4" borderId="2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23" xfId="0" applyNumberFormat="1" applyFont="1" applyBorder="1" applyAlignment="1" applyProtection="1">
      <alignment horizontal="right" vertical="center" wrapText="1"/>
      <protection hidden="1"/>
    </xf>
    <xf numFmtId="3" fontId="10" fillId="0" borderId="6" xfId="0" applyNumberFormat="1" applyFont="1" applyBorder="1" applyAlignment="1" applyProtection="1">
      <alignment horizontal="right" vertical="center" wrapText="1"/>
      <protection hidden="1"/>
    </xf>
    <xf numFmtId="41" fontId="3" fillId="0" borderId="4" xfId="0" applyNumberFormat="1" applyFont="1" applyBorder="1" applyProtection="1">
      <protection hidden="1"/>
    </xf>
    <xf numFmtId="3" fontId="10" fillId="4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4" xfId="0" applyNumberFormat="1" applyFont="1" applyBorder="1" applyAlignment="1" applyProtection="1">
      <alignment horizontal="right" vertical="center" wrapText="1"/>
      <protection hidden="1"/>
    </xf>
    <xf numFmtId="3" fontId="10" fillId="0" borderId="53" xfId="0" applyNumberFormat="1" applyFont="1" applyBorder="1" applyAlignment="1" applyProtection="1">
      <alignment horizontal="right" vertical="center" wrapText="1"/>
      <protection hidden="1"/>
    </xf>
    <xf numFmtId="3" fontId="10" fillId="6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6" borderId="1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1" xfId="0" applyNumberFormat="1" applyFont="1" applyBorder="1" applyAlignment="1" applyProtection="1">
      <alignment horizontal="right" vertical="center" wrapText="1"/>
      <protection hidden="1"/>
    </xf>
    <xf numFmtId="3" fontId="10" fillId="0" borderId="35" xfId="0" applyNumberFormat="1" applyFont="1" applyBorder="1" applyAlignment="1" applyProtection="1">
      <alignment horizontal="right" vertical="center" wrapText="1"/>
      <protection hidden="1"/>
    </xf>
    <xf numFmtId="3" fontId="3" fillId="3" borderId="25" xfId="0" applyNumberFormat="1" applyFont="1" applyFill="1" applyBorder="1" applyAlignment="1" applyProtection="1">
      <alignment horizontal="right" vertical="center" wrapText="1"/>
      <protection hidden="1"/>
    </xf>
    <xf numFmtId="3" fontId="3" fillId="3" borderId="9" xfId="0" applyNumberFormat="1" applyFont="1" applyFill="1" applyBorder="1" applyAlignment="1" applyProtection="1">
      <alignment horizontal="right" vertical="center" wrapText="1"/>
      <protection hidden="1"/>
    </xf>
    <xf numFmtId="167" fontId="14" fillId="0" borderId="14" xfId="0" applyNumberFormat="1" applyFont="1" applyBorder="1" applyAlignment="1" applyProtection="1">
      <alignment horizontal="right" vertical="center" wrapText="1"/>
      <protection hidden="1"/>
    </xf>
    <xf numFmtId="167" fontId="14" fillId="0" borderId="53" xfId="0" applyNumberFormat="1" applyFont="1" applyBorder="1" applyAlignment="1" applyProtection="1">
      <alignment horizontal="right" vertical="center" wrapText="1"/>
      <protection hidden="1"/>
    </xf>
    <xf numFmtId="167" fontId="14" fillId="0" borderId="4" xfId="0" applyNumberFormat="1" applyFont="1" applyBorder="1" applyAlignment="1" applyProtection="1">
      <alignment horizontal="right" vertical="center" wrapText="1"/>
      <protection hidden="1"/>
    </xf>
    <xf numFmtId="170" fontId="4" fillId="4" borderId="12" xfId="0" applyNumberFormat="1" applyFont="1" applyFill="1" applyBorder="1" applyAlignment="1" applyProtection="1">
      <alignment horizontal="right" vertical="center" wrapText="1"/>
      <protection hidden="1"/>
    </xf>
    <xf numFmtId="170" fontId="4" fillId="4" borderId="14" xfId="0" applyNumberFormat="1" applyFont="1" applyFill="1" applyBorder="1" applyAlignment="1" applyProtection="1">
      <alignment horizontal="right" vertical="center" wrapText="1"/>
      <protection hidden="1"/>
    </xf>
    <xf numFmtId="170" fontId="4" fillId="6" borderId="14" xfId="0" applyNumberFormat="1" applyFont="1" applyFill="1" applyBorder="1" applyAlignment="1" applyProtection="1">
      <alignment horizontal="right" vertical="center" wrapText="1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16" fontId="4" fillId="12" borderId="4" xfId="0" quotePrefix="1" applyNumberFormat="1" applyFont="1" applyFill="1" applyBorder="1" applyAlignment="1" applyProtection="1">
      <alignment horizontal="center"/>
      <protection hidden="1"/>
    </xf>
    <xf numFmtId="2" fontId="4" fillId="12" borderId="4" xfId="0" applyNumberFormat="1" applyFont="1" applyFill="1" applyBorder="1" applyAlignment="1" applyProtection="1">
      <alignment horizontal="center" vertical="center"/>
      <protection hidden="1"/>
    </xf>
    <xf numFmtId="3" fontId="4" fillId="12" borderId="4" xfId="0" applyNumberFormat="1" applyFont="1" applyFill="1" applyBorder="1" applyProtection="1">
      <protection hidden="1"/>
    </xf>
    <xf numFmtId="0" fontId="19" fillId="0" borderId="42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 wrapText="1"/>
      <protection hidden="1"/>
    </xf>
    <xf numFmtId="3" fontId="19" fillId="0" borderId="42" xfId="0" applyNumberFormat="1" applyFont="1" applyBorder="1" applyAlignment="1" applyProtection="1">
      <alignment horizontal="center"/>
      <protection hidden="1"/>
    </xf>
    <xf numFmtId="164" fontId="19" fillId="0" borderId="42" xfId="0" applyNumberFormat="1" applyFont="1" applyBorder="1" applyAlignment="1" applyProtection="1">
      <alignment horizontal="center"/>
      <protection hidden="1"/>
    </xf>
    <xf numFmtId="164" fontId="19" fillId="17" borderId="54" xfId="0" quotePrefix="1" applyNumberFormat="1" applyFont="1" applyFill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/>
      <protection hidden="1"/>
    </xf>
    <xf numFmtId="164" fontId="19" fillId="0" borderId="1" xfId="0" applyNumberFormat="1" applyFont="1" applyBorder="1" applyAlignment="1" applyProtection="1">
      <alignment horizontal="center"/>
      <protection hidden="1"/>
    </xf>
    <xf numFmtId="164" fontId="19" fillId="17" borderId="27" xfId="0" quotePrefix="1" applyNumberFormat="1" applyFont="1" applyFill="1" applyBorder="1" applyAlignment="1" applyProtection="1">
      <alignment horizontal="center"/>
      <protection hidden="1"/>
    </xf>
    <xf numFmtId="167" fontId="19" fillId="17" borderId="1" xfId="0" applyNumberFormat="1" applyFont="1" applyFill="1" applyBorder="1" applyProtection="1">
      <protection hidden="1"/>
    </xf>
    <xf numFmtId="165" fontId="19" fillId="17" borderId="1" xfId="0" applyNumberFormat="1" applyFont="1" applyFill="1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8" xfId="0" applyNumberFormat="1" applyBorder="1" applyProtection="1">
      <protection hidden="1"/>
    </xf>
    <xf numFmtId="10" fontId="0" fillId="9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Alignment="1" applyProtection="1">
      <alignment horizontal="center"/>
      <protection hidden="1"/>
    </xf>
    <xf numFmtId="3" fontId="0" fillId="16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Protection="1">
      <protection hidden="1"/>
    </xf>
    <xf numFmtId="42" fontId="0" fillId="16" borderId="8" xfId="0" applyNumberFormat="1" applyFill="1" applyBorder="1" applyProtection="1">
      <protection hidden="1"/>
    </xf>
    <xf numFmtId="42" fontId="8" fillId="0" borderId="8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3" fontId="0" fillId="0" borderId="1" xfId="0" applyNumberFormat="1" applyBorder="1" applyAlignment="1" applyProtection="1">
      <alignment horizontal="right"/>
      <protection hidden="1"/>
    </xf>
    <xf numFmtId="3" fontId="0" fillId="0" borderId="1" xfId="0" applyNumberFormat="1" applyBorder="1" applyProtection="1">
      <protection hidden="1"/>
    </xf>
    <xf numFmtId="10" fontId="0" fillId="9" borderId="1" xfId="0" applyNumberFormat="1" applyFill="1" applyBorder="1" applyAlignment="1" applyProtection="1">
      <alignment horizontal="center"/>
      <protection hidden="1"/>
    </xf>
    <xf numFmtId="0" fontId="0" fillId="16" borderId="1" xfId="0" applyFill="1" applyBorder="1" applyAlignment="1" applyProtection="1">
      <alignment horizontal="center"/>
      <protection hidden="1"/>
    </xf>
    <xf numFmtId="0" fontId="0" fillId="16" borderId="1" xfId="0" applyFill="1" applyBorder="1" applyProtection="1">
      <protection hidden="1"/>
    </xf>
    <xf numFmtId="42" fontId="0" fillId="16" borderId="1" xfId="0" applyNumberFormat="1" applyFill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3" fontId="0" fillId="16" borderId="1" xfId="0" applyNumberFormat="1" applyFill="1" applyBorder="1" applyAlignment="1" applyProtection="1">
      <alignment horizontal="center"/>
      <protection hidden="1"/>
    </xf>
    <xf numFmtId="3" fontId="8" fillId="0" borderId="1" xfId="0" applyNumberFormat="1" applyFont="1" applyBorder="1" applyProtection="1">
      <protection hidden="1"/>
    </xf>
    <xf numFmtId="167" fontId="0" fillId="0" borderId="1" xfId="0" applyNumberFormat="1" applyBorder="1" applyProtection="1">
      <protection hidden="1"/>
    </xf>
    <xf numFmtId="3" fontId="8" fillId="0" borderId="1" xfId="0" applyNumberFormat="1" applyFont="1" applyBorder="1" applyAlignment="1" applyProtection="1">
      <alignment horizontal="right"/>
      <protection hidden="1"/>
    </xf>
    <xf numFmtId="42" fontId="0" fillId="16" borderId="1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16" borderId="0" xfId="0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13" borderId="1" xfId="0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1" fillId="13" borderId="42" xfId="0" applyFont="1" applyFill="1" applyBorder="1" applyAlignment="1" applyProtection="1">
      <alignment horizontal="center"/>
      <protection hidden="1"/>
    </xf>
    <xf numFmtId="0" fontId="1" fillId="13" borderId="8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3" fontId="0" fillId="0" borderId="30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32" xfId="0" applyBorder="1" applyProtection="1">
      <protection hidden="1"/>
    </xf>
    <xf numFmtId="0" fontId="33" fillId="0" borderId="9" xfId="0" applyFont="1" applyBorder="1"/>
    <xf numFmtId="0" fontId="2" fillId="13" borderId="1" xfId="0" applyFont="1" applyFill="1" applyBorder="1" applyAlignment="1" applyProtection="1">
      <alignment horizontal="center" wrapText="1"/>
      <protection hidden="1"/>
    </xf>
    <xf numFmtId="0" fontId="2" fillId="3" borderId="19" xfId="0" applyFont="1" applyFill="1" applyBorder="1" applyProtection="1">
      <protection hidden="1"/>
    </xf>
    <xf numFmtId="0" fontId="2" fillId="3" borderId="37" xfId="0" applyFont="1" applyFill="1" applyBorder="1" applyProtection="1">
      <protection hidden="1"/>
    </xf>
    <xf numFmtId="0" fontId="0" fillId="3" borderId="37" xfId="0" applyFill="1" applyBorder="1" applyProtection="1">
      <protection hidden="1"/>
    </xf>
    <xf numFmtId="0" fontId="0" fillId="3" borderId="37" xfId="0" applyFill="1" applyBorder="1" applyAlignment="1" applyProtection="1">
      <alignment horizontal="center"/>
      <protection hidden="1"/>
    </xf>
    <xf numFmtId="0" fontId="0" fillId="3" borderId="37" xfId="0" applyFill="1" applyBorder="1"/>
    <xf numFmtId="0" fontId="0" fillId="3" borderId="20" xfId="0" applyFill="1" applyBorder="1"/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/>
    <xf numFmtId="0" fontId="0" fillId="3" borderId="40" xfId="0" applyFill="1" applyBorder="1"/>
    <xf numFmtId="44" fontId="0" fillId="3" borderId="0" xfId="0" applyNumberFormat="1" applyFill="1" applyProtection="1">
      <protection hidden="1"/>
    </xf>
    <xf numFmtId="42" fontId="0" fillId="3" borderId="0" xfId="0" applyNumberFormat="1" applyFill="1"/>
    <xf numFmtId="0" fontId="0" fillId="3" borderId="39" xfId="0" applyFill="1" applyBorder="1" applyProtection="1">
      <protection hidden="1"/>
    </xf>
    <xf numFmtId="0" fontId="0" fillId="3" borderId="0" xfId="0" applyFill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33" xfId="0" applyFill="1" applyBorder="1"/>
    <xf numFmtId="42" fontId="18" fillId="4" borderId="0" xfId="0" applyNumberFormat="1" applyFont="1" applyFill="1" applyProtection="1">
      <protection hidden="1"/>
    </xf>
    <xf numFmtId="44" fontId="0" fillId="4" borderId="0" xfId="0" applyNumberFormat="1" applyFill="1" applyProtection="1">
      <protection hidden="1"/>
    </xf>
    <xf numFmtId="0" fontId="3" fillId="3" borderId="4" xfId="0" applyFont="1" applyFill="1" applyBorder="1" applyAlignment="1">
      <alignment horizontal="center" wrapText="1"/>
    </xf>
    <xf numFmtId="171" fontId="19" fillId="9" borderId="7" xfId="0" quotePrefix="1" applyNumberFormat="1" applyFont="1" applyFill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164" fontId="19" fillId="17" borderId="55" xfId="0" quotePrefix="1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166" fontId="0" fillId="0" borderId="0" xfId="0" applyNumberFormat="1"/>
    <xf numFmtId="165" fontId="0" fillId="0" borderId="0" xfId="0" applyNumberFormat="1"/>
    <xf numFmtId="166" fontId="0" fillId="0" borderId="30" xfId="0" applyNumberFormat="1" applyBorder="1"/>
    <xf numFmtId="3" fontId="3" fillId="0" borderId="16" xfId="0" applyNumberFormat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16" fontId="34" fillId="0" borderId="1" xfId="0" quotePrefix="1" applyNumberFormat="1" applyFont="1" applyBorder="1" applyAlignment="1" applyProtection="1">
      <alignment horizontal="center"/>
      <protection hidden="1"/>
    </xf>
    <xf numFmtId="16" fontId="34" fillId="0" borderId="43" xfId="0" quotePrefix="1" applyNumberFormat="1" applyFont="1" applyBorder="1" applyAlignment="1" applyProtection="1">
      <alignment horizontal="center"/>
      <protection hidden="1"/>
    </xf>
    <xf numFmtId="167" fontId="19" fillId="0" borderId="1" xfId="0" applyNumberFormat="1" applyFont="1" applyBorder="1" applyProtection="1">
      <protection hidden="1"/>
    </xf>
    <xf numFmtId="167" fontId="19" fillId="0" borderId="59" xfId="0" applyNumberFormat="1" applyFont="1" applyBorder="1" applyProtection="1">
      <protection hidden="1"/>
    </xf>
    <xf numFmtId="3" fontId="19" fillId="0" borderId="1" xfId="0" quotePrefix="1" applyNumberFormat="1" applyFont="1" applyBorder="1" applyAlignment="1" applyProtection="1">
      <alignment horizontal="center"/>
      <protection hidden="1"/>
    </xf>
    <xf numFmtId="16" fontId="19" fillId="0" borderId="1" xfId="0" quotePrefix="1" applyNumberFormat="1" applyFont="1" applyBorder="1" applyAlignment="1" applyProtection="1">
      <alignment horizontal="center"/>
      <protection hidden="1"/>
    </xf>
    <xf numFmtId="0" fontId="17" fillId="13" borderId="43" xfId="0" applyFont="1" applyFill="1" applyBorder="1" applyAlignment="1" applyProtection="1">
      <alignment horizontal="left" wrapText="1"/>
      <protection hidden="1"/>
    </xf>
    <xf numFmtId="0" fontId="17" fillId="13" borderId="27" xfId="0" applyFont="1" applyFill="1" applyBorder="1" applyAlignment="1" applyProtection="1">
      <alignment horizontal="left" wrapText="1"/>
      <protection hidden="1"/>
    </xf>
    <xf numFmtId="0" fontId="32" fillId="0" borderId="43" xfId="0" applyFont="1" applyBorder="1" applyAlignment="1" applyProtection="1">
      <alignment horizontal="center"/>
      <protection hidden="1"/>
    </xf>
    <xf numFmtId="0" fontId="32" fillId="0" borderId="17" xfId="0" applyFont="1" applyBorder="1" applyAlignment="1" applyProtection="1">
      <alignment horizontal="center"/>
      <protection hidden="1"/>
    </xf>
    <xf numFmtId="0" fontId="32" fillId="0" borderId="27" xfId="0" applyFont="1" applyBorder="1" applyAlignment="1" applyProtection="1">
      <alignment horizontal="center"/>
      <protection hidden="1"/>
    </xf>
    <xf numFmtId="0" fontId="1" fillId="13" borderId="43" xfId="0" applyFont="1" applyFill="1" applyBorder="1" applyAlignment="1" applyProtection="1">
      <alignment horizontal="center"/>
      <protection hidden="1"/>
    </xf>
    <xf numFmtId="0" fontId="1" fillId="13" borderId="17" xfId="0" applyFont="1" applyFill="1" applyBorder="1" applyAlignment="1" applyProtection="1">
      <alignment horizontal="center"/>
      <protection hidden="1"/>
    </xf>
    <xf numFmtId="0" fontId="1" fillId="13" borderId="27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11" borderId="5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0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12" fillId="0" borderId="13" xfId="0" applyFont="1" applyBorder="1" applyAlignment="1">
      <alignment horizontal="left" vertical="center" wrapText="1" indent="2"/>
    </xf>
    <xf numFmtId="0" fontId="12" fillId="0" borderId="24" xfId="0" applyFont="1" applyBorder="1" applyAlignment="1">
      <alignment horizontal="left" vertical="center" wrapText="1" indent="2"/>
    </xf>
    <xf numFmtId="0" fontId="2" fillId="7" borderId="37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wrapText="1"/>
    </xf>
    <xf numFmtId="0" fontId="4" fillId="13" borderId="50" xfId="0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0" fontId="0" fillId="12" borderId="4" xfId="0" applyFill="1" applyBorder="1" applyAlignment="1">
      <alignment horizontal="right"/>
    </xf>
    <xf numFmtId="0" fontId="3" fillId="0" borderId="5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12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0" fillId="7" borderId="4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12" borderId="5" xfId="0" applyFont="1" applyFill="1" applyBorder="1" applyAlignment="1">
      <alignment horizontal="right" vertical="center"/>
    </xf>
    <xf numFmtId="0" fontId="3" fillId="12" borderId="7" xfId="0" applyFont="1" applyFill="1" applyBorder="1" applyAlignment="1">
      <alignment horizontal="right" vertical="center"/>
    </xf>
    <xf numFmtId="0" fontId="0" fillId="12" borderId="5" xfId="0" applyFill="1" applyBorder="1" applyAlignment="1">
      <alignment horizontal="left"/>
    </xf>
    <xf numFmtId="0" fontId="0" fillId="12" borderId="6" xfId="0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13" borderId="5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0" fontId="12" fillId="0" borderId="0" xfId="0" applyFont="1" applyAlignment="1">
      <alignment horizontal="left" vertical="center" wrapText="1" indent="2"/>
    </xf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39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41" xfId="0" applyFill="1" applyBorder="1" applyAlignment="1" applyProtection="1">
      <alignment horizontal="left" wrapText="1"/>
      <protection hidden="1"/>
    </xf>
    <xf numFmtId="0" fontId="0" fillId="3" borderId="9" xfId="0" applyFill="1" applyBorder="1" applyAlignment="1" applyProtection="1">
      <alignment horizontal="left" wrapText="1"/>
      <protection hidden="1"/>
    </xf>
    <xf numFmtId="0" fontId="6" fillId="0" borderId="41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left"/>
      <protection hidden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33" xfId="0" applyFill="1" applyBorder="1" applyAlignment="1">
      <alignment horizontal="left"/>
    </xf>
    <xf numFmtId="42" fontId="1" fillId="6" borderId="5" xfId="0" applyNumberFormat="1" applyFont="1" applyFill="1" applyBorder="1" applyAlignment="1">
      <alignment horizontal="left"/>
    </xf>
    <xf numFmtId="42" fontId="1" fillId="6" borderId="7" xfId="0" applyNumberFormat="1" applyFont="1" applyFill="1" applyBorder="1" applyAlignment="1">
      <alignment horizontal="left"/>
    </xf>
    <xf numFmtId="42" fontId="1" fillId="0" borderId="0" xfId="0" applyNumberFormat="1" applyFont="1" applyAlignment="1" applyProtection="1">
      <alignment horizontal="right"/>
      <protection hidden="1"/>
    </xf>
    <xf numFmtId="0" fontId="0" fillId="5" borderId="41" xfId="0" applyFill="1" applyBorder="1" applyAlignment="1" applyProtection="1">
      <alignment horizontal="left"/>
      <protection hidden="1"/>
    </xf>
    <xf numFmtId="0" fontId="0" fillId="5" borderId="33" xfId="0" applyFill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169" fontId="0" fillId="3" borderId="0" xfId="0" applyNumberFormat="1" applyFill="1" applyAlignment="1" applyProtection="1">
      <alignment horizontal="right"/>
      <protection hidden="1"/>
    </xf>
    <xf numFmtId="169" fontId="0" fillId="3" borderId="9" xfId="0" applyNumberFormat="1" applyFill="1" applyBorder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1" fillId="1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5" borderId="0" xfId="0" applyFont="1" applyFill="1" applyAlignment="1">
      <alignment horizontal="center" wrapText="1"/>
    </xf>
    <xf numFmtId="0" fontId="35" fillId="0" borderId="29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3" fontId="3" fillId="13" borderId="4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left"/>
    </xf>
    <xf numFmtId="0" fontId="38" fillId="0" borderId="29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0" fillId="0" borderId="29" xfId="0" applyBorder="1" applyAlignment="1">
      <alignment horizontal="left" wrapText="1"/>
    </xf>
    <xf numFmtId="0" fontId="37" fillId="0" borderId="2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A5D4C"/>
      <color rgb="FFF82A14"/>
      <color rgb="FFFB5C4B"/>
      <color rgb="FFFB4633"/>
      <color rgb="FFC2C2C2"/>
      <color rgb="FFFAB0A8"/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2696-268B-47CC-BD97-9FDBF549D436}">
  <sheetPr codeName="Sheet1">
    <pageSetUpPr fitToPage="1"/>
  </sheetPr>
  <dimension ref="A1:J43"/>
  <sheetViews>
    <sheetView zoomScaleNormal="100" workbookViewId="0">
      <selection activeCell="N7" sqref="N7"/>
    </sheetView>
  </sheetViews>
  <sheetFormatPr defaultRowHeight="15"/>
  <cols>
    <col min="1" max="1" width="9.42578125" customWidth="1"/>
    <col min="2" max="2" width="62.7109375" customWidth="1"/>
    <col min="3" max="3" width="13" customWidth="1"/>
    <col min="4" max="4" width="14" customWidth="1"/>
    <col min="5" max="5" width="13.28515625" customWidth="1"/>
    <col min="6" max="6" width="14.140625" hidden="1" customWidth="1"/>
    <col min="7" max="7" width="19.28515625" hidden="1" customWidth="1"/>
    <col min="8" max="8" width="9.140625" hidden="1" customWidth="1"/>
    <col min="9" max="9" width="3.7109375" hidden="1" customWidth="1"/>
    <col min="10" max="10" width="22.28515625" hidden="1" customWidth="1"/>
    <col min="11" max="11" width="13.85546875" customWidth="1"/>
    <col min="12" max="49" width="13.7109375" customWidth="1"/>
    <col min="50" max="50" width="9.140625" customWidth="1"/>
  </cols>
  <sheetData>
    <row r="1" spans="1:10" ht="42" customHeight="1">
      <c r="A1" s="322" t="s">
        <v>285</v>
      </c>
      <c r="B1" s="323"/>
      <c r="C1" s="282" t="s">
        <v>297</v>
      </c>
      <c r="D1" s="26" t="s">
        <v>28</v>
      </c>
      <c r="E1" s="270"/>
      <c r="F1" s="54"/>
      <c r="G1" s="127" t="s">
        <v>201</v>
      </c>
    </row>
    <row r="2" spans="1:10">
      <c r="A2" s="324" t="s">
        <v>286</v>
      </c>
      <c r="B2" s="325"/>
      <c r="C2" s="325"/>
      <c r="D2" s="325"/>
      <c r="E2" s="326"/>
      <c r="F2" s="39"/>
      <c r="G2" s="128"/>
      <c r="J2" t="s">
        <v>28</v>
      </c>
    </row>
    <row r="3" spans="1:10" ht="15.75" thickBot="1">
      <c r="A3" s="271"/>
      <c r="B3" s="265" t="s">
        <v>210</v>
      </c>
      <c r="C3" s="265"/>
      <c r="D3" s="265"/>
      <c r="E3" s="126">
        <v>737408</v>
      </c>
      <c r="F3" s="39"/>
      <c r="G3" s="128"/>
      <c r="J3" t="s">
        <v>287</v>
      </c>
    </row>
    <row r="4" spans="1:10" ht="15.75" thickBot="1">
      <c r="A4" s="271"/>
      <c r="B4" s="265" t="s">
        <v>211</v>
      </c>
      <c r="C4" s="265"/>
      <c r="D4" s="265"/>
      <c r="E4" s="18">
        <v>543798</v>
      </c>
      <c r="F4" s="39"/>
      <c r="G4" s="128"/>
      <c r="H4" t="s">
        <v>38</v>
      </c>
      <c r="J4" t="s">
        <v>288</v>
      </c>
    </row>
    <row r="5" spans="1:10" ht="15.75" thickBot="1">
      <c r="A5" s="271"/>
      <c r="B5" s="265" t="s">
        <v>241</v>
      </c>
      <c r="C5" s="265"/>
      <c r="D5" s="265"/>
      <c r="E5" s="19">
        <v>75</v>
      </c>
      <c r="F5" s="39"/>
      <c r="G5" s="128"/>
      <c r="J5" t="s">
        <v>289</v>
      </c>
    </row>
    <row r="6" spans="1:10">
      <c r="A6" s="271"/>
      <c r="B6" s="265" t="s">
        <v>148</v>
      </c>
      <c r="C6" s="265"/>
      <c r="D6" s="265"/>
      <c r="E6" s="190">
        <f>SUM(E5*43560)</f>
        <v>3267000</v>
      </c>
      <c r="F6" s="39"/>
      <c r="G6" s="128"/>
      <c r="J6" t="s">
        <v>290</v>
      </c>
    </row>
    <row r="7" spans="1:10">
      <c r="A7" s="271"/>
      <c r="B7" s="265" t="s">
        <v>209</v>
      </c>
      <c r="C7" s="265"/>
      <c r="D7" s="265"/>
      <c r="E7" s="191">
        <f>SUM(E6-E3)</f>
        <v>2529592</v>
      </c>
      <c r="F7" s="39"/>
      <c r="G7" s="128"/>
      <c r="J7" t="s">
        <v>291</v>
      </c>
    </row>
    <row r="8" spans="1:10" ht="15.75" thickBot="1">
      <c r="A8" s="271"/>
      <c r="B8" s="265"/>
      <c r="C8" s="272" t="s">
        <v>19</v>
      </c>
      <c r="D8" s="272" t="s">
        <v>20</v>
      </c>
      <c r="E8" s="273" t="s">
        <v>204</v>
      </c>
      <c r="F8" s="39"/>
      <c r="G8" s="128"/>
      <c r="J8" t="s">
        <v>292</v>
      </c>
    </row>
    <row r="9" spans="1:10" ht="15.75" thickBot="1">
      <c r="A9" s="271"/>
      <c r="B9" s="265" t="s">
        <v>21</v>
      </c>
      <c r="C9" s="17">
        <v>24</v>
      </c>
      <c r="D9" s="17">
        <v>3</v>
      </c>
      <c r="E9" s="194">
        <f>SUM(C9+D9*0.5)</f>
        <v>25.5</v>
      </c>
      <c r="G9" s="128">
        <f>'Staffing Expenses '!$H$9</f>
        <v>0</v>
      </c>
      <c r="H9" s="128">
        <f>SUM(E9:G9)</f>
        <v>25.5</v>
      </c>
      <c r="J9" t="s">
        <v>293</v>
      </c>
    </row>
    <row r="10" spans="1:10" ht="15.75" thickBot="1">
      <c r="A10" s="271"/>
      <c r="B10" s="265" t="s">
        <v>22</v>
      </c>
      <c r="C10" s="17">
        <v>7</v>
      </c>
      <c r="D10" s="17">
        <v>0</v>
      </c>
      <c r="E10" s="194">
        <f>SUM(C10+D10*0.5)</f>
        <v>7</v>
      </c>
      <c r="F10" s="39"/>
      <c r="G10" s="128">
        <f>'Staffing Expenses '!$H$17</f>
        <v>0</v>
      </c>
      <c r="H10" s="128">
        <f>SUM(E10:G10)</f>
        <v>7</v>
      </c>
      <c r="J10" t="s">
        <v>294</v>
      </c>
    </row>
    <row r="11" spans="1:10" ht="15.75" thickBot="1">
      <c r="A11" s="271"/>
      <c r="B11" s="265" t="s">
        <v>23</v>
      </c>
      <c r="C11" s="17">
        <v>5</v>
      </c>
      <c r="D11" s="17">
        <v>0</v>
      </c>
      <c r="E11" s="194">
        <f>SUM(C11+D11*0.5)</f>
        <v>5</v>
      </c>
      <c r="F11" s="39"/>
      <c r="G11" s="128">
        <f>'Staffing Expenses '!$H$26</f>
        <v>0</v>
      </c>
      <c r="H11" s="128">
        <f>SUM(E11:G11)</f>
        <v>5</v>
      </c>
      <c r="J11" t="s">
        <v>295</v>
      </c>
    </row>
    <row r="12" spans="1:10" ht="15.75" thickBot="1">
      <c r="A12" s="271"/>
      <c r="B12" s="265" t="s">
        <v>24</v>
      </c>
      <c r="C12" s="17">
        <v>2</v>
      </c>
      <c r="D12" s="17">
        <v>0</v>
      </c>
      <c r="E12" s="194">
        <f>SUM(C12+D12*0.5)</f>
        <v>2</v>
      </c>
      <c r="F12" s="39"/>
      <c r="G12" s="128"/>
      <c r="H12" s="128">
        <f>SUM(F12:G12)</f>
        <v>0</v>
      </c>
      <c r="J12" t="s">
        <v>296</v>
      </c>
    </row>
    <row r="13" spans="1:10">
      <c r="A13" s="271"/>
      <c r="B13" s="269" t="s">
        <v>26</v>
      </c>
      <c r="C13" s="192">
        <f>SUM(C9:C12)</f>
        <v>38</v>
      </c>
      <c r="D13" s="265"/>
      <c r="E13" s="274"/>
      <c r="G13" s="128"/>
    </row>
    <row r="14" spans="1:10">
      <c r="A14" s="271"/>
      <c r="B14" s="269" t="s">
        <v>27</v>
      </c>
      <c r="C14" s="265"/>
      <c r="D14" s="193">
        <f>SUM(D9:D13)</f>
        <v>3</v>
      </c>
      <c r="E14" s="274"/>
      <c r="G14" s="128"/>
    </row>
    <row r="15" spans="1:10" ht="15.75" thickBot="1">
      <c r="A15" s="271"/>
      <c r="B15" s="269"/>
      <c r="C15" s="272" t="s">
        <v>19</v>
      </c>
      <c r="D15" s="272" t="s">
        <v>20</v>
      </c>
      <c r="E15" s="275" t="s">
        <v>208</v>
      </c>
      <c r="G15" s="128"/>
    </row>
    <row r="16" spans="1:10">
      <c r="A16" s="271"/>
      <c r="B16" s="265" t="s">
        <v>307</v>
      </c>
      <c r="C16" s="20">
        <v>1980698</v>
      </c>
      <c r="D16" s="20">
        <v>54980</v>
      </c>
      <c r="E16" s="195">
        <f>SUM(C16:D16)</f>
        <v>2035678</v>
      </c>
      <c r="F16" s="129"/>
      <c r="G16" s="130">
        <f>'Staffing Expenses '!$N$9</f>
        <v>0</v>
      </c>
      <c r="I16" s="57"/>
    </row>
    <row r="17" spans="1:8">
      <c r="A17" s="271"/>
      <c r="B17" s="265" t="s">
        <v>321</v>
      </c>
      <c r="C17" s="21">
        <v>802151</v>
      </c>
      <c r="D17" s="22">
        <v>0</v>
      </c>
      <c r="E17" s="196">
        <f>SUM(C17:D17)</f>
        <v>802151</v>
      </c>
      <c r="G17" s="130">
        <f>'Staffing Expenses '!$N$17</f>
        <v>0</v>
      </c>
    </row>
    <row r="18" spans="1:8">
      <c r="A18" s="271"/>
      <c r="B18" s="265" t="s">
        <v>322</v>
      </c>
      <c r="C18" s="21">
        <v>480270</v>
      </c>
      <c r="D18" s="22">
        <v>0</v>
      </c>
      <c r="E18" s="196">
        <f>SUM(C18:D18)</f>
        <v>480270</v>
      </c>
      <c r="G18" s="130">
        <f>'Staffing Expenses '!$N$26</f>
        <v>0</v>
      </c>
    </row>
    <row r="19" spans="1:8" ht="15.75" thickBot="1">
      <c r="A19" s="271"/>
      <c r="B19" s="265" t="s">
        <v>345</v>
      </c>
      <c r="C19" s="23">
        <v>272486</v>
      </c>
      <c r="D19" s="24">
        <v>0</v>
      </c>
      <c r="E19" s="196">
        <f>SUM(C19:D19)</f>
        <v>272486</v>
      </c>
      <c r="G19" s="128"/>
    </row>
    <row r="20" spans="1:8">
      <c r="A20" s="271"/>
      <c r="B20" s="269" t="s">
        <v>25</v>
      </c>
      <c r="C20" s="265"/>
      <c r="D20" s="265"/>
      <c r="E20" s="197">
        <f>SUM(E16:E19)</f>
        <v>3590585</v>
      </c>
    </row>
    <row r="21" spans="1:8">
      <c r="A21" s="271"/>
      <c r="B21" s="269"/>
      <c r="C21" s="327" t="s">
        <v>325</v>
      </c>
      <c r="D21" s="328"/>
      <c r="E21" s="329"/>
    </row>
    <row r="22" spans="1:8">
      <c r="A22" s="330" t="s">
        <v>33</v>
      </c>
      <c r="B22" s="265" t="s">
        <v>308</v>
      </c>
      <c r="C22" s="265"/>
      <c r="D22" s="265"/>
      <c r="E22" s="198">
        <f>SUM(E16/E3)</f>
        <v>2.7605857273042873</v>
      </c>
      <c r="G22" s="131">
        <f>IF(G16="Unknown","0",SUM(G16/E3))</f>
        <v>0</v>
      </c>
      <c r="H22" s="131">
        <f>SUM(E22:G22)</f>
        <v>2.7605857273042873</v>
      </c>
    </row>
    <row r="23" spans="1:8">
      <c r="A23" s="330"/>
      <c r="B23" s="265" t="s">
        <v>323</v>
      </c>
      <c r="C23" s="265"/>
      <c r="D23" s="265"/>
      <c r="E23" s="198">
        <f>SUM(E17/E3)</f>
        <v>1.0877980710814095</v>
      </c>
      <c r="G23" s="131">
        <f>IF(G17="Unknown","0",SUM(G17/E3))</f>
        <v>0</v>
      </c>
      <c r="H23" s="131">
        <f>SUM(E23:G23)</f>
        <v>1.0877980710814095</v>
      </c>
    </row>
    <row r="24" spans="1:8">
      <c r="A24" s="330"/>
      <c r="B24" s="265" t="s">
        <v>324</v>
      </c>
      <c r="C24" s="265"/>
      <c r="D24" s="265"/>
      <c r="E24" s="198">
        <f>SUM(E18/E7)</f>
        <v>0.18986065737083294</v>
      </c>
      <c r="G24" s="131">
        <f>IF(G18="Unknown","0",SUM(G18/E3))</f>
        <v>0</v>
      </c>
      <c r="H24" s="131">
        <f>SUM(E24:G24)</f>
        <v>0.18986065737083294</v>
      </c>
    </row>
    <row r="25" spans="1:8">
      <c r="A25" s="330"/>
      <c r="B25" s="265" t="s">
        <v>346</v>
      </c>
      <c r="C25" s="265"/>
      <c r="D25" s="265"/>
      <c r="E25" s="198">
        <f>SUM(E19/E3)</f>
        <v>0.36951863825724701</v>
      </c>
      <c r="G25" s="131">
        <f>IF(G19="Unknown","0",SUM(G19/E3))</f>
        <v>0</v>
      </c>
      <c r="H25" s="131">
        <f>SUM(E25:G25)</f>
        <v>0.36951863825724701</v>
      </c>
    </row>
    <row r="26" spans="1:8" ht="17.25" customHeight="1">
      <c r="A26" s="330"/>
      <c r="B26" s="269" t="s">
        <v>326</v>
      </c>
      <c r="C26" s="265"/>
      <c r="D26" s="265"/>
      <c r="E26" s="199">
        <f>SUM(E22:E25)</f>
        <v>4.4077630940137773</v>
      </c>
      <c r="G26" s="128"/>
      <c r="H26" s="131">
        <f>SUM(H22:H25)</f>
        <v>4.4077630940137773</v>
      </c>
    </row>
    <row r="27" spans="1:8" ht="17.25" customHeight="1" thickBot="1">
      <c r="A27" s="276"/>
      <c r="B27" s="265"/>
      <c r="C27" s="265"/>
      <c r="D27" s="265"/>
      <c r="E27" s="274"/>
    </row>
    <row r="28" spans="1:8" ht="17.25" customHeight="1" thickBot="1">
      <c r="A28" s="330" t="s">
        <v>243</v>
      </c>
      <c r="B28" s="265" t="s">
        <v>277</v>
      </c>
      <c r="C28" s="265"/>
      <c r="D28" s="265"/>
      <c r="E28" s="25">
        <v>150651</v>
      </c>
    </row>
    <row r="29" spans="1:8" ht="17.25" customHeight="1">
      <c r="A29" s="330"/>
      <c r="B29" s="269" t="s">
        <v>327</v>
      </c>
      <c r="C29" s="265"/>
      <c r="D29" s="265"/>
      <c r="E29" s="200">
        <f>SUM(E28/E6)</f>
        <v>4.6112947658402202E-2</v>
      </c>
    </row>
    <row r="30" spans="1:8" ht="17.25" customHeight="1" thickBot="1">
      <c r="A30" s="276"/>
      <c r="B30" s="265"/>
      <c r="C30" s="265"/>
      <c r="D30" s="265"/>
      <c r="E30" s="274"/>
    </row>
    <row r="31" spans="1:8" ht="17.25" customHeight="1" thickBot="1">
      <c r="A31" s="330" t="s">
        <v>243</v>
      </c>
      <c r="B31" s="265" t="s">
        <v>300</v>
      </c>
      <c r="C31" s="265"/>
      <c r="D31" s="265"/>
      <c r="E31" s="25">
        <v>115690</v>
      </c>
    </row>
    <row r="32" spans="1:8" ht="17.25" customHeight="1">
      <c r="A32" s="330"/>
      <c r="B32" s="269" t="s">
        <v>328</v>
      </c>
      <c r="C32" s="265"/>
      <c r="D32" s="265"/>
      <c r="E32" s="200">
        <f>SUM(E31/E3)</f>
        <v>0.15688736764450617</v>
      </c>
      <c r="F32" s="132" t="s">
        <v>126</v>
      </c>
    </row>
    <row r="33" spans="1:8" ht="17.25" customHeight="1" thickBot="1">
      <c r="A33" s="276"/>
      <c r="B33" s="265"/>
      <c r="C33" s="265"/>
      <c r="D33" s="265"/>
      <c r="E33" s="277"/>
      <c r="F33" s="132" t="s">
        <v>38</v>
      </c>
      <c r="H33" t="s">
        <v>38</v>
      </c>
    </row>
    <row r="34" spans="1:8" ht="17.25" customHeight="1" thickBot="1">
      <c r="A34" s="330" t="s">
        <v>243</v>
      </c>
      <c r="B34" s="265" t="s">
        <v>299</v>
      </c>
      <c r="C34" s="265"/>
      <c r="D34" s="265"/>
      <c r="E34" s="25">
        <v>1068067</v>
      </c>
      <c r="F34" s="132"/>
      <c r="G34" t="s">
        <v>38</v>
      </c>
    </row>
    <row r="35" spans="1:8" ht="17.25" customHeight="1">
      <c r="A35" s="330"/>
      <c r="B35" s="269" t="s">
        <v>328</v>
      </c>
      <c r="C35" s="265"/>
      <c r="D35" s="265"/>
      <c r="E35" s="200">
        <f>SUM(E34/E3)</f>
        <v>1.448407123329283</v>
      </c>
      <c r="F35" s="133">
        <f>SUM(E32+E35)</f>
        <v>1.6052944909737892</v>
      </c>
    </row>
    <row r="36" spans="1:8" ht="17.25" customHeight="1" thickBot="1">
      <c r="A36" s="276"/>
      <c r="B36" s="265"/>
      <c r="C36" s="265"/>
      <c r="D36" s="265"/>
      <c r="E36" s="277"/>
    </row>
    <row r="37" spans="1:8" ht="17.25" customHeight="1" thickBot="1">
      <c r="A37" s="330" t="s">
        <v>30</v>
      </c>
      <c r="B37" s="265" t="s">
        <v>35</v>
      </c>
      <c r="C37" s="265"/>
      <c r="D37" s="265"/>
      <c r="E37" s="25">
        <v>822763</v>
      </c>
      <c r="F37" s="132" t="s">
        <v>142</v>
      </c>
    </row>
    <row r="38" spans="1:8" ht="17.25" customHeight="1">
      <c r="A38" s="330"/>
      <c r="B38" s="269" t="s">
        <v>328</v>
      </c>
      <c r="C38" s="265"/>
      <c r="D38" s="265"/>
      <c r="E38" s="200">
        <f>SUM(E37/E3)</f>
        <v>1.1157500325464329</v>
      </c>
      <c r="F38" s="132"/>
    </row>
    <row r="39" spans="1:8" ht="17.25" customHeight="1" thickBot="1">
      <c r="A39" s="276"/>
      <c r="B39" s="265"/>
      <c r="C39" s="265"/>
      <c r="D39" s="265"/>
      <c r="E39" s="274"/>
      <c r="F39" s="132"/>
    </row>
    <row r="40" spans="1:8" ht="17.25" customHeight="1" thickBot="1">
      <c r="A40" s="330" t="s">
        <v>34</v>
      </c>
      <c r="B40" s="265" t="s">
        <v>36</v>
      </c>
      <c r="C40" s="265"/>
      <c r="D40" s="265"/>
      <c r="E40" s="25">
        <v>0</v>
      </c>
      <c r="F40" s="132"/>
    </row>
    <row r="41" spans="1:8">
      <c r="A41" s="330"/>
      <c r="B41" s="269" t="s">
        <v>328</v>
      </c>
      <c r="C41" s="265"/>
      <c r="D41" s="265"/>
      <c r="E41" s="200">
        <f>SUM(E40/E3)</f>
        <v>0</v>
      </c>
      <c r="F41" s="133">
        <f>SUM(E38+E41)</f>
        <v>1.1157500325464329</v>
      </c>
    </row>
    <row r="42" spans="1:8">
      <c r="A42" s="278"/>
      <c r="B42" s="279"/>
      <c r="C42" s="279"/>
      <c r="D42" s="279"/>
      <c r="E42" s="280"/>
    </row>
    <row r="43" spans="1:8">
      <c r="A43" s="442" t="s">
        <v>350</v>
      </c>
      <c r="B43" s="442"/>
    </row>
  </sheetData>
  <sheetProtection algorithmName="SHA-512" hashValue="IZjQkoz8SzqZgha5krUeo1ssCQ8AKLXY+G7qlEboqln+spCycgKRE/o8wbPQzQN5yzlRKKSsYLJqlbk3248q9Q==" saltValue="dd+6cukMRyEShCRE+cZb8w==" spinCount="100000" sheet="1" objects="1" scenarios="1"/>
  <mergeCells count="10">
    <mergeCell ref="A1:B1"/>
    <mergeCell ref="A2:E2"/>
    <mergeCell ref="C21:E21"/>
    <mergeCell ref="A43:B43"/>
    <mergeCell ref="A28:A29"/>
    <mergeCell ref="A31:A32"/>
    <mergeCell ref="A34:A35"/>
    <mergeCell ref="A37:A38"/>
    <mergeCell ref="A40:A41"/>
    <mergeCell ref="A22:A26"/>
  </mergeCells>
  <dataValidations count="1">
    <dataValidation type="list" allowBlank="1" showInputMessage="1" showErrorMessage="1" sqref="D1" xr:uid="{DF944EFA-B2E1-45A2-986D-981CAF5F0D61}">
      <formula1>$J$2:$J$12</formula1>
    </dataValidation>
  </dataValidation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EE62-D823-4CEA-92CD-E7C5BC0A6A9C}">
  <sheetPr codeName="Sheet2">
    <pageSetUpPr fitToPage="1"/>
  </sheetPr>
  <dimension ref="A1:O194"/>
  <sheetViews>
    <sheetView topLeftCell="A9" zoomScale="70" zoomScaleNormal="70" workbookViewId="0">
      <selection sqref="A1:O1"/>
    </sheetView>
  </sheetViews>
  <sheetFormatPr defaultRowHeight="15"/>
  <cols>
    <col min="1" max="5" width="22.7109375" customWidth="1"/>
    <col min="6" max="6" width="19.28515625" customWidth="1"/>
    <col min="7" max="7" width="2.140625" style="1" customWidth="1"/>
    <col min="8" max="11" width="16.28515625" customWidth="1"/>
    <col min="12" max="13" width="16.140625" customWidth="1"/>
    <col min="14" max="14" width="15.85546875" customWidth="1"/>
    <col min="15" max="15" width="17.7109375" customWidth="1"/>
  </cols>
  <sheetData>
    <row r="1" spans="1:15" ht="37.5" customHeight="1" thickBot="1">
      <c r="A1" s="338" t="s">
        <v>352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40"/>
    </row>
    <row r="2" spans="1:15" ht="24.75" customHeight="1">
      <c r="A2" s="343" t="s">
        <v>280</v>
      </c>
      <c r="B2" s="342"/>
      <c r="C2" s="342"/>
      <c r="D2" s="342"/>
      <c r="E2" s="342"/>
      <c r="F2" s="342"/>
      <c r="G2" s="62"/>
      <c r="H2" s="350" t="s">
        <v>283</v>
      </c>
      <c r="I2" s="350"/>
      <c r="J2" s="350"/>
      <c r="K2" s="350"/>
      <c r="L2" s="350"/>
      <c r="M2" s="350"/>
      <c r="N2" s="350"/>
      <c r="O2" s="350"/>
    </row>
    <row r="3" spans="1:15" ht="63.95" customHeight="1">
      <c r="A3" s="63" t="s">
        <v>301</v>
      </c>
      <c r="B3" s="64" t="s">
        <v>302</v>
      </c>
      <c r="C3" s="64" t="s">
        <v>303</v>
      </c>
      <c r="D3" s="64" t="s">
        <v>304</v>
      </c>
      <c r="E3" s="64" t="s">
        <v>305</v>
      </c>
      <c r="G3" s="62"/>
      <c r="H3" s="334"/>
      <c r="I3" s="334"/>
      <c r="J3" s="334"/>
      <c r="K3" s="334"/>
      <c r="L3" s="334"/>
      <c r="M3" s="334"/>
      <c r="N3" s="334"/>
      <c r="O3" s="334"/>
    </row>
    <row r="4" spans="1:15" ht="15.75" customHeight="1">
      <c r="A4" s="65" t="s">
        <v>3</v>
      </c>
      <c r="B4" s="66" t="s">
        <v>4</v>
      </c>
      <c r="C4" s="66" t="s">
        <v>5</v>
      </c>
      <c r="D4" s="66" t="s">
        <v>6</v>
      </c>
      <c r="E4" s="66" t="s">
        <v>306</v>
      </c>
      <c r="G4" s="62"/>
      <c r="H4" s="334"/>
      <c r="I4" s="334"/>
      <c r="J4" s="334"/>
      <c r="K4" s="334"/>
      <c r="L4" s="334"/>
      <c r="M4" s="334"/>
      <c r="N4" s="334"/>
      <c r="O4" s="334"/>
    </row>
    <row r="5" spans="1:15" ht="21">
      <c r="A5" s="67">
        <v>8500</v>
      </c>
      <c r="B5" s="68">
        <v>16700</v>
      </c>
      <c r="C5" s="69">
        <v>26500</v>
      </c>
      <c r="D5" s="70">
        <v>39500</v>
      </c>
      <c r="E5" s="71">
        <v>45600</v>
      </c>
      <c r="G5" s="62"/>
      <c r="H5" s="347" t="s">
        <v>256</v>
      </c>
      <c r="I5" s="348"/>
      <c r="J5" s="348"/>
      <c r="K5" s="348"/>
      <c r="L5" s="348"/>
      <c r="M5" s="348"/>
      <c r="N5" s="348"/>
      <c r="O5" s="349"/>
    </row>
    <row r="6" spans="1:15" ht="18.75">
      <c r="A6" s="72"/>
      <c r="B6" s="73"/>
      <c r="C6" s="73"/>
      <c r="D6" s="73"/>
      <c r="E6" s="73"/>
      <c r="G6" s="62"/>
      <c r="H6" s="336" t="s">
        <v>309</v>
      </c>
      <c r="I6" s="336"/>
      <c r="J6" s="336"/>
      <c r="K6" s="336"/>
      <c r="L6" s="336"/>
      <c r="M6" s="336"/>
      <c r="N6" s="336"/>
      <c r="O6" s="346"/>
    </row>
    <row r="7" spans="1:15" ht="75.75" thickBot="1">
      <c r="A7" s="74" t="s">
        <v>351</v>
      </c>
      <c r="B7" s="6" t="s">
        <v>0</v>
      </c>
      <c r="C7" s="6" t="s">
        <v>1</v>
      </c>
      <c r="D7" s="75" t="s">
        <v>37</v>
      </c>
      <c r="E7" s="75" t="s">
        <v>2</v>
      </c>
      <c r="F7" s="76" t="s">
        <v>258</v>
      </c>
      <c r="G7" s="77"/>
      <c r="H7" s="78" t="s">
        <v>205</v>
      </c>
      <c r="I7" s="79" t="s">
        <v>8</v>
      </c>
      <c r="J7" s="79" t="s">
        <v>7</v>
      </c>
      <c r="K7" s="79" t="s">
        <v>265</v>
      </c>
      <c r="L7" s="79" t="s">
        <v>329</v>
      </c>
      <c r="M7" s="79" t="s">
        <v>310</v>
      </c>
      <c r="N7" s="79" t="s">
        <v>330</v>
      </c>
      <c r="O7" s="80" t="s">
        <v>311</v>
      </c>
    </row>
    <row r="8" spans="1:15" ht="38.1" hidden="1" customHeight="1" thickBot="1">
      <c r="A8" s="81" t="s">
        <v>223</v>
      </c>
      <c r="B8" s="82" t="s">
        <v>29</v>
      </c>
      <c r="C8" s="83">
        <v>617680</v>
      </c>
      <c r="D8" s="84">
        <v>27</v>
      </c>
      <c r="E8" s="83">
        <f>SUM(C8/D8)</f>
        <v>22877.037037037036</v>
      </c>
      <c r="F8" s="85" t="str">
        <f>IF(E8&gt;E5,"5",IF(E8&gt;D5,"4-5",IF(E8&gt;C5,"3-4",IF(E8&gt;B5,"2-3",IF(E8&gt;A5,"1-2",IF(E8&lt;A5,"1",0))))))</f>
        <v>2-3</v>
      </c>
      <c r="G8" s="77"/>
      <c r="H8" s="86"/>
      <c r="I8" s="87">
        <f>SUM(D8+H8)</f>
        <v>27</v>
      </c>
      <c r="J8" s="88">
        <f>SUM(C8/I8)</f>
        <v>22877.037037037036</v>
      </c>
      <c r="K8" s="89" t="str">
        <f>IF(J8&gt;E5,"5",IF(J8&gt;D5,"4-5",IF(J8&gt;C5,"3-4",IF(J8&gt;B5,"2-3",IF(J8&gt;A5,"1-2",IF(J8&lt;A5,"1",0))))))</f>
        <v>2-3</v>
      </c>
      <c r="L8" s="90">
        <v>2256655</v>
      </c>
      <c r="M8" s="91">
        <f>SUM(L8/C8)</f>
        <v>3.6534370547856496</v>
      </c>
      <c r="N8" s="92">
        <f>SUM(J8*H8*M8)</f>
        <v>0</v>
      </c>
      <c r="O8" s="93">
        <f>SUM(L8+N8)</f>
        <v>2256655</v>
      </c>
    </row>
    <row r="9" spans="1:15" ht="38.1" customHeight="1" thickBot="1">
      <c r="A9" s="306" t="str">
        <f>'Summary Data'!$D$1</f>
        <v>2020-2021</v>
      </c>
      <c r="B9" s="307" t="str">
        <f>'Summary Data'!$A$1</f>
        <v>Santa Ana College</v>
      </c>
      <c r="C9" s="233">
        <f>'Summary Data'!$E$3</f>
        <v>737408</v>
      </c>
      <c r="D9" s="234">
        <f>'Summary Data'!$E$9</f>
        <v>25.5</v>
      </c>
      <c r="E9" s="233">
        <f>IF(D9,C9/D9,"Unknown")</f>
        <v>28917.960784313724</v>
      </c>
      <c r="F9" s="321" t="str">
        <f>IF(E9="Unknown","Unknown",IF(E9&gt;E5,"5",IF(E9&gt;D5,"4",IF(E9&gt;C5,"3",IF(E9&gt;B5,"2",IF(E9&gt;A5,"1",IF(E9&lt;A5,"1",0)))))))</f>
        <v>3</v>
      </c>
      <c r="G9" s="94"/>
      <c r="H9" s="305">
        <v>0</v>
      </c>
      <c r="I9" s="308">
        <f>SUM(D9+H9)</f>
        <v>25.5</v>
      </c>
      <c r="J9" s="233">
        <f>IF(I9,C9/I9,"Unknown")</f>
        <v>28917.960784313724</v>
      </c>
      <c r="K9" s="231" t="str">
        <f>IF(J9="Unknown","Unknown",IF(J9&gt;E5,"5",IF(J9&gt;D5,"4",IF(J9&gt;C5,"3",IF(J9&gt;B5,"2",IF(J9&gt;A5,"1",IF(J9&lt;A5,"1",0)))))))</f>
        <v>3</v>
      </c>
      <c r="L9" s="236">
        <f>'Summary Data'!$E$16</f>
        <v>2035678</v>
      </c>
      <c r="M9" s="237">
        <f>SUM(L9/C9)</f>
        <v>2.7605857273042873</v>
      </c>
      <c r="N9" s="318">
        <f>IF(J9="Unknown","Unknown",SUM(J9*H9*M9))</f>
        <v>0</v>
      </c>
      <c r="O9" s="319">
        <f>IF(N9="Unknown","Unknown",SUM(L9+N9))</f>
        <v>2035678</v>
      </c>
    </row>
    <row r="10" spans="1:15" ht="32.1" customHeight="1">
      <c r="A10" s="95"/>
      <c r="B10" s="96"/>
      <c r="C10" s="97"/>
      <c r="D10" s="98"/>
      <c r="E10" s="97"/>
      <c r="F10" s="99"/>
      <c r="G10" s="100"/>
      <c r="H10" s="100"/>
      <c r="I10" s="101"/>
      <c r="J10" s="102"/>
      <c r="K10" s="103"/>
      <c r="L10" s="104"/>
      <c r="M10" s="105"/>
      <c r="N10" s="104"/>
      <c r="O10" s="106"/>
    </row>
    <row r="11" spans="1:15" ht="26.25" customHeight="1">
      <c r="A11" s="341" t="s">
        <v>281</v>
      </c>
      <c r="B11" s="342"/>
      <c r="C11" s="342"/>
      <c r="D11" s="342"/>
      <c r="E11" s="342"/>
      <c r="F11" s="342"/>
      <c r="G11" s="62"/>
      <c r="H11" s="350" t="s">
        <v>283</v>
      </c>
      <c r="I11" s="350"/>
      <c r="J11" s="350"/>
      <c r="K11" s="350"/>
      <c r="L11" s="350"/>
      <c r="M11" s="350"/>
      <c r="N11" s="350"/>
      <c r="O11" s="350"/>
    </row>
    <row r="12" spans="1:15" ht="63.95" customHeight="1">
      <c r="A12" s="64" t="s">
        <v>259</v>
      </c>
      <c r="B12" s="64" t="s">
        <v>260</v>
      </c>
      <c r="C12" s="64" t="s">
        <v>261</v>
      </c>
      <c r="D12" s="64" t="s">
        <v>262</v>
      </c>
      <c r="E12" s="64" t="s">
        <v>263</v>
      </c>
      <c r="G12" s="62"/>
      <c r="H12" s="334"/>
      <c r="I12" s="334"/>
      <c r="J12" s="334"/>
      <c r="K12" s="334"/>
      <c r="L12" s="334"/>
      <c r="M12" s="334"/>
      <c r="N12" s="334"/>
      <c r="O12" s="334"/>
    </row>
    <row r="13" spans="1:15" ht="31.5" customHeight="1">
      <c r="A13" s="66" t="s">
        <v>9</v>
      </c>
      <c r="B13" s="66" t="s">
        <v>10</v>
      </c>
      <c r="C13" s="66" t="s">
        <v>11</v>
      </c>
      <c r="D13" s="66" t="s">
        <v>12</v>
      </c>
      <c r="E13" s="66" t="s">
        <v>13</v>
      </c>
      <c r="G13" s="62"/>
      <c r="H13" s="334"/>
      <c r="I13" s="334"/>
      <c r="J13" s="334"/>
      <c r="K13" s="334"/>
      <c r="L13" s="334"/>
      <c r="M13" s="334"/>
      <c r="N13" s="334"/>
      <c r="O13" s="334"/>
    </row>
    <row r="14" spans="1:15" ht="21">
      <c r="A14" s="107">
        <v>47220</v>
      </c>
      <c r="B14" s="68">
        <v>67456</v>
      </c>
      <c r="C14" s="69">
        <v>94439</v>
      </c>
      <c r="D14" s="70">
        <v>118049</v>
      </c>
      <c r="E14" s="71">
        <v>236098</v>
      </c>
      <c r="G14" s="62"/>
      <c r="H14" s="351" t="s">
        <v>347</v>
      </c>
      <c r="I14" s="352"/>
      <c r="J14" s="352"/>
      <c r="K14" s="352"/>
      <c r="L14" s="352"/>
      <c r="M14" s="352"/>
      <c r="N14" s="352"/>
      <c r="O14" s="353"/>
    </row>
    <row r="15" spans="1:15" ht="18.75">
      <c r="A15" s="108"/>
      <c r="B15" s="109"/>
      <c r="C15" s="109"/>
      <c r="D15" s="109"/>
      <c r="E15" s="109"/>
      <c r="G15" s="62"/>
      <c r="H15" s="336" t="s">
        <v>331</v>
      </c>
      <c r="I15" s="336"/>
      <c r="J15" s="336"/>
      <c r="K15" s="336"/>
      <c r="L15" s="336"/>
      <c r="M15" s="336"/>
      <c r="N15" s="336"/>
      <c r="O15" s="337"/>
    </row>
    <row r="16" spans="1:15" ht="77.25" customHeight="1" thickBot="1">
      <c r="A16" s="6" t="s">
        <v>351</v>
      </c>
      <c r="B16" s="6" t="s">
        <v>0</v>
      </c>
      <c r="C16" s="6" t="s">
        <v>1</v>
      </c>
      <c r="D16" s="75" t="s">
        <v>39</v>
      </c>
      <c r="E16" s="75" t="s">
        <v>40</v>
      </c>
      <c r="F16" s="76" t="s">
        <v>257</v>
      </c>
      <c r="G16" s="110"/>
      <c r="H16" s="111" t="s">
        <v>212</v>
      </c>
      <c r="I16" s="75" t="s">
        <v>8</v>
      </c>
      <c r="J16" s="75" t="s">
        <v>213</v>
      </c>
      <c r="K16" s="75" t="s">
        <v>348</v>
      </c>
      <c r="L16" s="75" t="s">
        <v>332</v>
      </c>
      <c r="M16" s="75" t="s">
        <v>333</v>
      </c>
      <c r="N16" s="75" t="s">
        <v>334</v>
      </c>
      <c r="O16" s="75" t="s">
        <v>335</v>
      </c>
    </row>
    <row r="17" spans="1:15" ht="38.1" customHeight="1" thickBot="1">
      <c r="A17" s="226" t="str">
        <f>'Summary Data'!$D$1</f>
        <v>2020-2021</v>
      </c>
      <c r="B17" s="227" t="str">
        <f>'Summary Data'!$A$1</f>
        <v>Santa Ana College</v>
      </c>
      <c r="C17" s="228">
        <f>'Summary Data'!$E$3</f>
        <v>737408</v>
      </c>
      <c r="D17" s="229">
        <f>'Summary Data'!$E$10</f>
        <v>7</v>
      </c>
      <c r="E17" s="233">
        <f>IF(D17,C17/D17,"Unknown")</f>
        <v>105344</v>
      </c>
      <c r="F17" s="316" t="str">
        <f>IF(E17="Unknown","Unknown",IF(E17&gt;E14,"5",IF(E17&gt;D14,"4",IF(E17&gt;C14,"3",IF(E17&gt;B14,"2",IF(E17&gt;A14,"1",IF(E17&lt;A14,"1",0)))))))</f>
        <v>3</v>
      </c>
      <c r="G17" s="110"/>
      <c r="H17" s="305">
        <v>0</v>
      </c>
      <c r="I17" s="230">
        <f>SUM(D17+H17)</f>
        <v>7</v>
      </c>
      <c r="J17" s="233">
        <f>IF(I17,C17/I17,"Unknown")</f>
        <v>105344</v>
      </c>
      <c r="K17" s="231" t="str">
        <f>IF(J17="Unknown","Unknown",IF(J17&gt;E14,"5",IF(J17&gt;D14,"4",IF(J17&gt;C14,"3",IF(J17&gt;B14,"2",IF(J17&gt;A14,"1",IF(J17&lt;A14,"1",0)))))))</f>
        <v>3</v>
      </c>
      <c r="L17" s="236">
        <f>'Summary Data'!$E$17</f>
        <v>802151</v>
      </c>
      <c r="M17" s="237">
        <f>SUM(L17/C17)</f>
        <v>1.0877980710814095</v>
      </c>
      <c r="N17" s="318">
        <f>IF(J17="Unknown","Unknown",SUM(J17*H17*M17))</f>
        <v>0</v>
      </c>
      <c r="O17" s="319">
        <f>IF(N17="Unknown","Unknown",SUM(L17+N17))</f>
        <v>802151</v>
      </c>
    </row>
    <row r="18" spans="1:15" ht="32.1" customHeight="1">
      <c r="A18" s="112"/>
      <c r="B18" s="113"/>
      <c r="C18" s="114"/>
      <c r="D18" s="115"/>
      <c r="E18" s="314"/>
      <c r="F18" s="315"/>
      <c r="G18" s="116"/>
      <c r="H18" s="117"/>
      <c r="I18" s="118"/>
      <c r="J18" s="309"/>
      <c r="K18" s="310"/>
      <c r="L18" s="311"/>
      <c r="M18" s="312"/>
      <c r="N18" s="311"/>
      <c r="O18" s="313"/>
    </row>
    <row r="19" spans="1:15" ht="26.25" customHeight="1">
      <c r="A19" s="344" t="s">
        <v>282</v>
      </c>
      <c r="B19" s="345"/>
      <c r="C19" s="345"/>
      <c r="D19" s="345"/>
      <c r="E19" s="345"/>
      <c r="F19" s="345"/>
      <c r="G19" s="62"/>
      <c r="H19" s="334" t="s">
        <v>283</v>
      </c>
      <c r="I19" s="334"/>
      <c r="J19" s="334"/>
      <c r="K19" s="334"/>
      <c r="L19" s="334"/>
      <c r="M19" s="334"/>
      <c r="N19" s="334"/>
      <c r="O19" s="334"/>
    </row>
    <row r="20" spans="1:15" ht="63.95" customHeight="1">
      <c r="A20" s="64" t="s">
        <v>249</v>
      </c>
      <c r="B20" s="64" t="s">
        <v>250</v>
      </c>
      <c r="C20" s="64" t="s">
        <v>251</v>
      </c>
      <c r="D20" s="64" t="s">
        <v>252</v>
      </c>
      <c r="E20" s="64" t="s">
        <v>253</v>
      </c>
      <c r="G20" s="62"/>
      <c r="H20" s="334"/>
      <c r="I20" s="334"/>
      <c r="J20" s="334"/>
      <c r="K20" s="334"/>
      <c r="L20" s="334"/>
      <c r="M20" s="334"/>
      <c r="N20" s="334"/>
      <c r="O20" s="334"/>
    </row>
    <row r="21" spans="1:15" ht="31.5" customHeight="1">
      <c r="A21" s="66" t="s">
        <v>14</v>
      </c>
      <c r="B21" s="66" t="s">
        <v>15</v>
      </c>
      <c r="C21" s="66" t="s">
        <v>16</v>
      </c>
      <c r="D21" s="66" t="s">
        <v>17</v>
      </c>
      <c r="E21" s="66" t="s">
        <v>18</v>
      </c>
      <c r="G21" s="62"/>
      <c r="H21" s="334"/>
      <c r="I21" s="334"/>
      <c r="J21" s="334"/>
      <c r="K21" s="334"/>
      <c r="L21" s="334"/>
      <c r="M21" s="334"/>
      <c r="N21" s="334"/>
      <c r="O21" s="334"/>
    </row>
    <row r="22" spans="1:15" ht="51" customHeight="1">
      <c r="A22" s="119" t="s">
        <v>217</v>
      </c>
      <c r="B22" s="120" t="s">
        <v>216</v>
      </c>
      <c r="C22" s="121" t="s">
        <v>214</v>
      </c>
      <c r="D22" s="122" t="s">
        <v>215</v>
      </c>
      <c r="E22" s="123" t="s">
        <v>218</v>
      </c>
      <c r="G22" s="62"/>
      <c r="H22" s="334"/>
      <c r="I22" s="334"/>
      <c r="J22" s="334"/>
      <c r="K22" s="334"/>
      <c r="L22" s="334"/>
      <c r="M22" s="334"/>
      <c r="N22" s="334"/>
      <c r="O22" s="334"/>
    </row>
    <row r="23" spans="1:15" ht="21" customHeight="1">
      <c r="A23" s="119">
        <v>346737.6</v>
      </c>
      <c r="B23" s="120">
        <v>451717</v>
      </c>
      <c r="C23" s="121">
        <v>608097.6</v>
      </c>
      <c r="D23" s="122">
        <v>976615</v>
      </c>
      <c r="E23" s="123">
        <v>1855656</v>
      </c>
      <c r="G23" s="62"/>
      <c r="H23" s="331" t="s">
        <v>255</v>
      </c>
      <c r="I23" s="332"/>
      <c r="J23" s="332"/>
      <c r="K23" s="332"/>
      <c r="L23" s="332"/>
      <c r="M23" s="332"/>
      <c r="N23" s="332"/>
      <c r="O23" s="333"/>
    </row>
    <row r="24" spans="1:15" ht="18.75">
      <c r="A24" s="335"/>
      <c r="B24" s="335"/>
      <c r="C24" s="335"/>
      <c r="D24" s="335"/>
      <c r="E24" s="335"/>
      <c r="F24" s="335"/>
      <c r="G24" s="62"/>
      <c r="H24" s="336" t="s">
        <v>336</v>
      </c>
      <c r="I24" s="336"/>
      <c r="J24" s="336"/>
      <c r="K24" s="336"/>
      <c r="L24" s="336"/>
      <c r="M24" s="336"/>
      <c r="N24" s="336"/>
      <c r="O24" s="337"/>
    </row>
    <row r="25" spans="1:15" ht="75.75" thickBot="1">
      <c r="A25" s="58" t="s">
        <v>351</v>
      </c>
      <c r="B25" s="58" t="s">
        <v>146</v>
      </c>
      <c r="C25" s="79" t="s">
        <v>145</v>
      </c>
      <c r="D25" s="79" t="s">
        <v>143</v>
      </c>
      <c r="E25" s="79" t="s">
        <v>144</v>
      </c>
      <c r="F25" s="124" t="s">
        <v>254</v>
      </c>
      <c r="G25" s="94"/>
      <c r="H25" s="111" t="s">
        <v>219</v>
      </c>
      <c r="I25" s="79" t="s">
        <v>8</v>
      </c>
      <c r="J25" s="79" t="s">
        <v>147</v>
      </c>
      <c r="K25" s="79" t="s">
        <v>264</v>
      </c>
      <c r="L25" s="79" t="s">
        <v>337</v>
      </c>
      <c r="M25" s="79" t="s">
        <v>338</v>
      </c>
      <c r="N25" s="79" t="s">
        <v>339</v>
      </c>
      <c r="O25" s="79" t="s">
        <v>340</v>
      </c>
    </row>
    <row r="26" spans="1:15" ht="38.1" customHeight="1" thickBot="1">
      <c r="A26" s="231" t="str">
        <f>'Summary Data'!$D$1</f>
        <v>2020-2021</v>
      </c>
      <c r="B26" s="232" t="str">
        <f>'Summary Data'!$A$1</f>
        <v>Santa Ana College</v>
      </c>
      <c r="C26" s="233">
        <f>'Summary Data'!$E$7</f>
        <v>2529592</v>
      </c>
      <c r="D26" s="234">
        <f>'Summary Data'!$E$11</f>
        <v>5</v>
      </c>
      <c r="E26" s="233">
        <f>IF(D26,C26/D26,"Unknown")</f>
        <v>505918.4</v>
      </c>
      <c r="F26" s="317" t="str">
        <f>IF(E26="Unknown","Unknown",IF(E26="Unknown","Unknown",IF(E26&gt;E23,"5",IF(E26&gt;D23,"4",IF(E26&gt;C23,"3",IF(E26&gt;B23,"2",IF(E26&gt;A23,"1",IF(E26&lt;A23,"1",0))))))))</f>
        <v>2</v>
      </c>
      <c r="G26" s="125"/>
      <c r="H26" s="305">
        <v>0</v>
      </c>
      <c r="I26" s="235">
        <f>SUM(D26+H26)</f>
        <v>5</v>
      </c>
      <c r="J26" s="233">
        <f>IF(I26,C26/I26,"Unknown")</f>
        <v>505918.4</v>
      </c>
      <c r="K26" s="320" t="str">
        <f>IF(J26="Unknown","Unknown",IF(J26&gt;E23,"5",IF(J26&gt;D23,"4",IF(J26&gt;C23,"3",IF(J26&gt;B23,"2",IF(J26&gt;A23,"1",IF(J26&lt;A23,"1",0)))))))</f>
        <v>2</v>
      </c>
      <c r="L26" s="236">
        <f>'Summary Data'!$E$18</f>
        <v>480270</v>
      </c>
      <c r="M26" s="237">
        <f>SUM(L26/C26)</f>
        <v>0.18986065737083294</v>
      </c>
      <c r="N26" s="318">
        <f>IF(J26="Unknown","Unknown",SUM(J26*H26*M26))</f>
        <v>0</v>
      </c>
      <c r="O26" s="319">
        <f>IF(N26="Unknown","Unknown",SUM(L26+N26))</f>
        <v>480270</v>
      </c>
    </row>
    <row r="27" spans="1:15" ht="32.1" customHeight="1">
      <c r="A27" s="439" t="s">
        <v>350</v>
      </c>
      <c r="B27" s="438"/>
      <c r="C27" s="438"/>
      <c r="D27" s="438"/>
      <c r="E27" s="438"/>
      <c r="F27" s="438"/>
      <c r="G27" s="43"/>
      <c r="H27" s="43"/>
      <c r="I27" s="45"/>
      <c r="J27" s="44"/>
      <c r="K27" s="46"/>
      <c r="L27" s="47"/>
      <c r="M27" s="48"/>
      <c r="N27" s="47"/>
      <c r="O27" s="47"/>
    </row>
    <row r="28" spans="1:15" ht="18.75">
      <c r="G28"/>
      <c r="J28" s="16"/>
    </row>
    <row r="29" spans="1:15">
      <c r="G29"/>
    </row>
    <row r="30" spans="1:15">
      <c r="G30"/>
    </row>
    <row r="31" spans="1:15">
      <c r="G31"/>
    </row>
    <row r="32" spans="1:15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</sheetData>
  <sheetProtection algorithmName="SHA-512" hashValue="RiuBsgymdbWsJo37hHKNWPGPYrJ0X/b01a/y8UAnaRdjCNSZu89o/yirMbcnh30yaiOT4QbI0UcWS2vkt09MYQ==" saltValue="Me/EN/+8LWJpw7jGTmTEaQ==" spinCount="100000" sheet="1" objects="1" scenarios="1"/>
  <mergeCells count="15">
    <mergeCell ref="A27:F27"/>
    <mergeCell ref="H23:O23"/>
    <mergeCell ref="H19:O22"/>
    <mergeCell ref="A24:F24"/>
    <mergeCell ref="H24:O24"/>
    <mergeCell ref="A1:O1"/>
    <mergeCell ref="A11:F11"/>
    <mergeCell ref="A2:F2"/>
    <mergeCell ref="H15:O15"/>
    <mergeCell ref="A19:F19"/>
    <mergeCell ref="H6:O6"/>
    <mergeCell ref="H5:O5"/>
    <mergeCell ref="H2:O4"/>
    <mergeCell ref="H11:O13"/>
    <mergeCell ref="H14:O14"/>
  </mergeCells>
  <pageMargins left="0.25" right="0.25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492-04A5-487A-8AEC-43A0A0961791}">
  <sheetPr codeName="Sheet3">
    <pageSetUpPr fitToPage="1"/>
  </sheetPr>
  <dimension ref="B1:R39"/>
  <sheetViews>
    <sheetView zoomScale="85" zoomScaleNormal="85" workbookViewId="0">
      <selection activeCell="D30" sqref="D30"/>
    </sheetView>
  </sheetViews>
  <sheetFormatPr defaultRowHeight="15"/>
  <cols>
    <col min="1" max="1" width="2" customWidth="1"/>
    <col min="2" max="2" width="28.140625" customWidth="1"/>
    <col min="3" max="3" width="24.140625" customWidth="1"/>
    <col min="4" max="15" width="16.7109375" customWidth="1"/>
    <col min="17" max="17" width="13.28515625" customWidth="1"/>
  </cols>
  <sheetData>
    <row r="1" spans="2:18" ht="26.25">
      <c r="B1" s="375" t="s">
        <v>236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2:18" ht="26.25">
      <c r="B2" s="375" t="s">
        <v>312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</row>
    <row r="3" spans="2:18" ht="15.75" thickBot="1">
      <c r="B3" s="134"/>
    </row>
    <row r="4" spans="2:18" ht="16.5" thickBot="1">
      <c r="B4" s="135" t="s">
        <v>127</v>
      </c>
      <c r="C4" s="136" t="s">
        <v>29</v>
      </c>
      <c r="D4" s="55"/>
      <c r="F4" s="135" t="s">
        <v>128</v>
      </c>
      <c r="G4" s="378" t="str">
        <f>IFERROR(VLOOKUP($O$4,'Campuswide Expenses'!B7:N46,2,0),"")</f>
        <v>F-136 POOL STORAGE</v>
      </c>
      <c r="H4" s="378"/>
      <c r="I4" s="378"/>
      <c r="J4" s="137" t="s">
        <v>239</v>
      </c>
      <c r="K4" s="138">
        <f>IFERROR(VLOOKUP($O$4,'Campuswide Expenses'!F7:'Campuswide Expenses'!B7:D46,3,0),"")</f>
        <v>1947</v>
      </c>
      <c r="L4" s="137"/>
      <c r="N4" s="139"/>
      <c r="O4" s="61">
        <v>973</v>
      </c>
      <c r="Q4" s="39"/>
    </row>
    <row r="5" spans="2:18" ht="15.75">
      <c r="B5" s="135"/>
      <c r="C5" s="140"/>
      <c r="Q5" s="39"/>
    </row>
    <row r="6" spans="2:18" ht="16.5" thickBot="1">
      <c r="B6" s="134"/>
      <c r="E6" s="141"/>
      <c r="F6" s="142"/>
      <c r="G6" s="142"/>
      <c r="I6" s="142"/>
      <c r="J6" s="142"/>
      <c r="K6" s="142"/>
      <c r="L6" s="142"/>
      <c r="M6" s="142"/>
      <c r="N6" s="142"/>
      <c r="O6" s="142"/>
      <c r="Q6" s="39"/>
    </row>
    <row r="7" spans="2:18" ht="16.5" customHeight="1" thickBot="1">
      <c r="B7" s="384" t="s">
        <v>149</v>
      </c>
      <c r="C7" s="385"/>
      <c r="D7" s="201">
        <f>'Summary Data'!$E$3</f>
        <v>737408</v>
      </c>
      <c r="E7" s="143"/>
      <c r="F7" s="144" t="s">
        <v>353</v>
      </c>
      <c r="G7" s="362" t="str">
        <f>'Summary Data'!$D$1</f>
        <v>2020-2021</v>
      </c>
      <c r="H7" s="363"/>
      <c r="I7" s="145"/>
      <c r="J7" s="382" t="s">
        <v>129</v>
      </c>
      <c r="K7" s="383"/>
      <c r="L7" s="383"/>
      <c r="M7" s="359" t="s">
        <v>248</v>
      </c>
      <c r="N7" s="360"/>
      <c r="O7" s="361"/>
      <c r="Q7" s="39"/>
    </row>
    <row r="8" spans="2:18" ht="17.25" customHeight="1" thickBot="1">
      <c r="B8" s="376" t="s">
        <v>238</v>
      </c>
      <c r="C8" s="377"/>
      <c r="D8" s="202">
        <f>IFERROR(VLOOKUP($O$4,'Campuswide Expenses'!B6:N46,5,0),"")</f>
        <v>1000</v>
      </c>
      <c r="E8" s="143"/>
      <c r="F8" s="146" t="s">
        <v>130</v>
      </c>
      <c r="G8" s="146" t="s">
        <v>131</v>
      </c>
      <c r="H8" s="219">
        <f>'Summary Data'!$E$35</f>
        <v>1.448407123329283</v>
      </c>
      <c r="I8" s="147"/>
      <c r="J8" s="379" t="s">
        <v>240</v>
      </c>
      <c r="K8" s="380"/>
      <c r="L8" s="380"/>
      <c r="M8" s="380"/>
      <c r="N8" s="380"/>
      <c r="O8" s="381"/>
      <c r="Q8" s="39"/>
    </row>
    <row r="9" spans="2:18" ht="18" customHeight="1" thickBot="1">
      <c r="B9" s="376" t="s">
        <v>245</v>
      </c>
      <c r="C9" s="377"/>
      <c r="D9" s="148">
        <v>0.04</v>
      </c>
      <c r="E9" s="142"/>
      <c r="F9" s="149" t="s">
        <v>132</v>
      </c>
      <c r="G9" s="150" t="s">
        <v>131</v>
      </c>
      <c r="H9" s="220">
        <f>'Summary Data'!$E$32</f>
        <v>0.15688736764450617</v>
      </c>
      <c r="I9" s="147"/>
      <c r="J9" s="368" t="s">
        <v>133</v>
      </c>
      <c r="K9" s="368"/>
      <c r="L9" s="222">
        <f>'Summary Data'!$H$9</f>
        <v>25.5</v>
      </c>
      <c r="M9" s="368" t="s">
        <v>134</v>
      </c>
      <c r="N9" s="368"/>
      <c r="O9" s="225">
        <f>IF(L9,D7/L9,0)</f>
        <v>28917.960784313724</v>
      </c>
      <c r="Q9" s="39"/>
    </row>
    <row r="10" spans="2:18" ht="16.5" customHeight="1" thickBot="1">
      <c r="B10" s="151" t="s">
        <v>221</v>
      </c>
      <c r="C10" s="152"/>
      <c r="D10" s="148">
        <v>0.03</v>
      </c>
      <c r="E10" s="142"/>
      <c r="F10" s="149" t="s">
        <v>271</v>
      </c>
      <c r="G10" s="150" t="s">
        <v>135</v>
      </c>
      <c r="H10" s="220">
        <f>'Summary Data'!$E$29</f>
        <v>4.6112947658402202E-2</v>
      </c>
      <c r="I10" s="147"/>
      <c r="J10" s="368" t="s">
        <v>136</v>
      </c>
      <c r="K10" s="368"/>
      <c r="L10" s="222">
        <f>'Summary Data'!$H$10</f>
        <v>7</v>
      </c>
      <c r="M10" s="368" t="s">
        <v>268</v>
      </c>
      <c r="N10" s="368"/>
      <c r="O10" s="225">
        <f>IF(L10,D7/L10,0)</f>
        <v>105344</v>
      </c>
      <c r="Q10" s="39"/>
    </row>
    <row r="11" spans="2:18" ht="16.5" customHeight="1" thickBot="1">
      <c r="B11" s="370" t="s">
        <v>222</v>
      </c>
      <c r="C11" s="371"/>
      <c r="D11" s="153">
        <v>0.03</v>
      </c>
      <c r="E11" s="142"/>
      <c r="F11" s="149" t="s">
        <v>137</v>
      </c>
      <c r="G11" s="150" t="s">
        <v>131</v>
      </c>
      <c r="H11" s="221">
        <f>'Summary Data'!$H$26</f>
        <v>4.4077630940137773</v>
      </c>
      <c r="I11" s="147"/>
      <c r="J11" s="368" t="s">
        <v>267</v>
      </c>
      <c r="K11" s="368"/>
      <c r="L11" s="223" t="str">
        <f>'Staffing Expenses '!$K$9</f>
        <v>3</v>
      </c>
      <c r="M11" s="373" t="s">
        <v>273</v>
      </c>
      <c r="N11" s="374"/>
      <c r="O11" s="374"/>
      <c r="Q11" s="39"/>
    </row>
    <row r="12" spans="2:18" ht="16.5" customHeight="1" thickBot="1">
      <c r="B12" s="154"/>
      <c r="C12" s="154"/>
      <c r="D12" s="155"/>
      <c r="E12" s="142"/>
      <c r="F12" s="156" t="s">
        <v>138</v>
      </c>
      <c r="G12" s="150" t="s">
        <v>131</v>
      </c>
      <c r="H12" s="221">
        <f>'Summary Data'!$F$41</f>
        <v>1.1157500325464329</v>
      </c>
      <c r="J12" s="368" t="s">
        <v>266</v>
      </c>
      <c r="K12" s="368"/>
      <c r="L12" s="223" t="str">
        <f>'Staffing Expenses '!$K$17</f>
        <v>3</v>
      </c>
      <c r="M12" s="373" t="s">
        <v>272</v>
      </c>
      <c r="N12" s="374"/>
      <c r="O12" s="374"/>
      <c r="Q12" s="39"/>
      <c r="R12" t="s">
        <v>38</v>
      </c>
    </row>
    <row r="13" spans="2:18" ht="16.5" customHeight="1" thickBot="1">
      <c r="B13" s="154"/>
      <c r="C13" s="154"/>
      <c r="D13" s="155"/>
      <c r="E13" s="142"/>
      <c r="F13" s="152"/>
      <c r="G13" s="157"/>
      <c r="H13" s="158"/>
      <c r="I13" s="158"/>
      <c r="J13" s="372" t="s">
        <v>139</v>
      </c>
      <c r="K13" s="372"/>
      <c r="L13" s="224">
        <f>IF(O9,D8/O9,0)</f>
        <v>3.4580584967887525E-2</v>
      </c>
      <c r="M13" s="388" t="s">
        <v>140</v>
      </c>
      <c r="N13" s="389"/>
      <c r="O13" s="390"/>
      <c r="Q13" s="39"/>
    </row>
    <row r="14" spans="2:18" ht="16.5" thickBot="1">
      <c r="B14" s="154"/>
      <c r="C14" s="154"/>
      <c r="D14" s="155"/>
      <c r="E14" s="142"/>
      <c r="H14" s="159"/>
      <c r="I14" s="159"/>
      <c r="J14" s="386" t="s">
        <v>141</v>
      </c>
      <c r="K14" s="387"/>
      <c r="L14" s="224">
        <f>IF(O10,D8/O10,0)</f>
        <v>9.4927095990279473E-3</v>
      </c>
      <c r="M14" s="388" t="s">
        <v>140</v>
      </c>
      <c r="N14" s="389"/>
      <c r="O14" s="390"/>
      <c r="Q14" s="39"/>
    </row>
    <row r="15" spans="2:18" ht="16.5" thickBot="1">
      <c r="B15" s="393"/>
      <c r="C15" s="393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Q15" s="39"/>
    </row>
    <row r="16" spans="2:18" ht="31.5" customHeight="1" thickBot="1">
      <c r="B16" s="394"/>
      <c r="C16" s="395"/>
      <c r="D16" s="160" t="s">
        <v>353</v>
      </c>
      <c r="E16" s="366"/>
      <c r="F16" s="367"/>
      <c r="G16" s="367"/>
      <c r="H16" s="367"/>
      <c r="I16" s="367"/>
      <c r="J16" s="367"/>
      <c r="K16" s="367"/>
      <c r="L16" s="367"/>
      <c r="M16" s="367"/>
      <c r="N16" s="367"/>
      <c r="O16" s="364" t="s">
        <v>274</v>
      </c>
      <c r="Q16" s="39"/>
    </row>
    <row r="17" spans="2:17" ht="24.75" customHeight="1" thickBot="1">
      <c r="B17" s="396" t="s">
        <v>315</v>
      </c>
      <c r="C17" s="397"/>
      <c r="D17" s="161"/>
      <c r="E17" s="161" t="s">
        <v>227</v>
      </c>
      <c r="F17" s="161" t="s">
        <v>228</v>
      </c>
      <c r="G17" s="161" t="s">
        <v>229</v>
      </c>
      <c r="H17" s="161" t="s">
        <v>230</v>
      </c>
      <c r="I17" s="161" t="s">
        <v>231</v>
      </c>
      <c r="J17" s="161" t="s">
        <v>232</v>
      </c>
      <c r="K17" s="161" t="s">
        <v>233</v>
      </c>
      <c r="L17" s="161" t="s">
        <v>234</v>
      </c>
      <c r="M17" s="161" t="s">
        <v>235</v>
      </c>
      <c r="N17" s="162" t="s">
        <v>237</v>
      </c>
      <c r="O17" s="365"/>
      <c r="P17" s="39"/>
    </row>
    <row r="18" spans="2:17" ht="31.5" hidden="1" customHeight="1" thickBot="1">
      <c r="B18" s="369" t="s">
        <v>226</v>
      </c>
      <c r="C18" s="369"/>
      <c r="D18" s="163" t="str">
        <f>IFERROR(VLOOKUP($O$4,'Campuswide Expenses'!B7:N46,13,0),"")</f>
        <v/>
      </c>
      <c r="E18" s="164" t="e">
        <f>D18*(1+#REF!)</f>
        <v>#VALUE!</v>
      </c>
      <c r="F18" s="164" t="e">
        <f>E18*(1+#REF!)</f>
        <v>#VALUE!</v>
      </c>
      <c r="G18" s="164" t="e">
        <f>F18*(1+#REF!)</f>
        <v>#VALUE!</v>
      </c>
      <c r="H18" s="164" t="e">
        <f>G18*(1+#REF!)</f>
        <v>#VALUE!</v>
      </c>
      <c r="I18" s="164" t="e">
        <f>H18*(1+#REF!)</f>
        <v>#VALUE!</v>
      </c>
      <c r="J18" s="164" t="e">
        <f>I18*(1+#REF!)</f>
        <v>#VALUE!</v>
      </c>
      <c r="K18" s="164" t="e">
        <f>J18*(1+#REF!)</f>
        <v>#VALUE!</v>
      </c>
      <c r="L18" s="164" t="e">
        <f>K18*(1+#REF!)</f>
        <v>#VALUE!</v>
      </c>
      <c r="M18" s="164" t="e">
        <f>L18*(1+#REF!)</f>
        <v>#VALUE!</v>
      </c>
      <c r="N18" s="165" t="e">
        <f>M18*(1+#REF!)</f>
        <v>#VALUE!</v>
      </c>
      <c r="O18" s="166"/>
      <c r="P18" s="39"/>
    </row>
    <row r="19" spans="2:17" ht="23.25" hidden="1" customHeight="1" thickBot="1">
      <c r="B19" s="398" t="s">
        <v>224</v>
      </c>
      <c r="C19" s="398"/>
      <c r="D19" s="167">
        <f>IFERROR(VLOOKUP($O$4,'Campuswide Expenses'!B7:P46,15,0),"")</f>
        <v>80</v>
      </c>
      <c r="E19" s="167">
        <f>(D19)</f>
        <v>80</v>
      </c>
      <c r="F19" s="167">
        <f>(E19)</f>
        <v>80</v>
      </c>
      <c r="G19" s="167">
        <f t="shared" ref="G19:N19" si="0">(F19)</f>
        <v>80</v>
      </c>
      <c r="H19" s="167">
        <f t="shared" si="0"/>
        <v>80</v>
      </c>
      <c r="I19" s="167">
        <f t="shared" si="0"/>
        <v>80</v>
      </c>
      <c r="J19" s="167">
        <f t="shared" si="0"/>
        <v>80</v>
      </c>
      <c r="K19" s="167">
        <f t="shared" si="0"/>
        <v>80</v>
      </c>
      <c r="L19" s="167">
        <f t="shared" si="0"/>
        <v>80</v>
      </c>
      <c r="M19" s="167">
        <f t="shared" si="0"/>
        <v>80</v>
      </c>
      <c r="N19" s="168">
        <f t="shared" si="0"/>
        <v>80</v>
      </c>
      <c r="O19" s="166"/>
      <c r="P19" s="39"/>
    </row>
    <row r="20" spans="2:17" ht="23.25" hidden="1" customHeight="1" thickBot="1">
      <c r="B20" s="391" t="s">
        <v>225</v>
      </c>
      <c r="C20" s="392"/>
      <c r="D20" s="169" t="e">
        <f>SUM(D18*D19)/100</f>
        <v>#VALUE!</v>
      </c>
      <c r="E20" s="169" t="e">
        <f t="shared" ref="E20:N20" si="1">SUM(E18*E19)/100</f>
        <v>#VALUE!</v>
      </c>
      <c r="F20" s="169" t="e">
        <f t="shared" si="1"/>
        <v>#VALUE!</v>
      </c>
      <c r="G20" s="169" t="e">
        <f t="shared" si="1"/>
        <v>#VALUE!</v>
      </c>
      <c r="H20" s="169" t="e">
        <f t="shared" si="1"/>
        <v>#VALUE!</v>
      </c>
      <c r="I20" s="169" t="e">
        <f t="shared" si="1"/>
        <v>#VALUE!</v>
      </c>
      <c r="J20" s="169" t="e">
        <f t="shared" si="1"/>
        <v>#VALUE!</v>
      </c>
      <c r="K20" s="169" t="e">
        <f t="shared" si="1"/>
        <v>#VALUE!</v>
      </c>
      <c r="L20" s="169" t="e">
        <f t="shared" si="1"/>
        <v>#VALUE!</v>
      </c>
      <c r="M20" s="169" t="e">
        <f t="shared" si="1"/>
        <v>#VALUE!</v>
      </c>
      <c r="N20" s="170" t="e">
        <f t="shared" si="1"/>
        <v>#VALUE!</v>
      </c>
      <c r="O20" s="166"/>
      <c r="P20" s="39"/>
    </row>
    <row r="21" spans="2:17" ht="24" hidden="1" customHeight="1" thickBot="1">
      <c r="B21" s="357" t="s">
        <v>195</v>
      </c>
      <c r="C21" s="403"/>
      <c r="D21" s="169" t="e">
        <f>(D18)-(D20)</f>
        <v>#VALUE!</v>
      </c>
      <c r="E21" s="169" t="e">
        <f t="shared" ref="E21:N21" si="2">(E18)-(E20)</f>
        <v>#VALUE!</v>
      </c>
      <c r="F21" s="169" t="e">
        <f t="shared" si="2"/>
        <v>#VALUE!</v>
      </c>
      <c r="G21" s="169" t="e">
        <f t="shared" si="2"/>
        <v>#VALUE!</v>
      </c>
      <c r="H21" s="169" t="e">
        <f t="shared" si="2"/>
        <v>#VALUE!</v>
      </c>
      <c r="I21" s="169" t="e">
        <f t="shared" si="2"/>
        <v>#VALUE!</v>
      </c>
      <c r="J21" s="169" t="e">
        <f t="shared" si="2"/>
        <v>#VALUE!</v>
      </c>
      <c r="K21" s="169" t="e">
        <f t="shared" si="2"/>
        <v>#VALUE!</v>
      </c>
      <c r="L21" s="169" t="e">
        <f t="shared" si="2"/>
        <v>#VALUE!</v>
      </c>
      <c r="M21" s="169" t="e">
        <f t="shared" si="2"/>
        <v>#VALUE!</v>
      </c>
      <c r="N21" s="170" t="e">
        <f t="shared" si="2"/>
        <v>#VALUE!</v>
      </c>
      <c r="O21" s="166"/>
      <c r="Q21" s="39"/>
    </row>
    <row r="22" spans="2:17" ht="16.5" thickBot="1">
      <c r="B22" s="357" t="s">
        <v>246</v>
      </c>
      <c r="C22" s="358"/>
      <c r="D22" s="203">
        <f>H8*D8</f>
        <v>1448.407123329283</v>
      </c>
      <c r="E22" s="204">
        <f t="shared" ref="E22:N22" si="3">D22*(1+$D$9)</f>
        <v>1506.3434082624544</v>
      </c>
      <c r="F22" s="204">
        <f t="shared" si="3"/>
        <v>1566.5971445929526</v>
      </c>
      <c r="G22" s="204">
        <f t="shared" si="3"/>
        <v>1629.2610303766708</v>
      </c>
      <c r="H22" s="204">
        <f t="shared" si="3"/>
        <v>1694.4314715917376</v>
      </c>
      <c r="I22" s="204">
        <f t="shared" si="3"/>
        <v>1762.2087304554072</v>
      </c>
      <c r="J22" s="204">
        <f t="shared" si="3"/>
        <v>1832.6970796736236</v>
      </c>
      <c r="K22" s="204">
        <f t="shared" si="3"/>
        <v>1906.0049628605686</v>
      </c>
      <c r="L22" s="204">
        <f t="shared" si="3"/>
        <v>1982.2451613749915</v>
      </c>
      <c r="M22" s="204">
        <f t="shared" si="3"/>
        <v>2061.5349678299913</v>
      </c>
      <c r="N22" s="205">
        <f t="shared" si="3"/>
        <v>2143.996366543191</v>
      </c>
      <c r="O22" s="206">
        <f>SUM(E22:N22)</f>
        <v>18085.320323561587</v>
      </c>
      <c r="Q22" s="39"/>
    </row>
    <row r="23" spans="2:17" ht="16.5" customHeight="1" thickBot="1">
      <c r="B23" s="357" t="s">
        <v>247</v>
      </c>
      <c r="C23" s="358"/>
      <c r="D23" s="207">
        <f>H9*D8</f>
        <v>156.88736764450618</v>
      </c>
      <c r="E23" s="208">
        <f t="shared" ref="E23:N23" si="4">D23*(1+$D$9)</f>
        <v>163.16286235028645</v>
      </c>
      <c r="F23" s="208">
        <f t="shared" si="4"/>
        <v>169.6893768442979</v>
      </c>
      <c r="G23" s="208">
        <f t="shared" si="4"/>
        <v>176.47695191806983</v>
      </c>
      <c r="H23" s="208">
        <f t="shared" si="4"/>
        <v>183.53602999479264</v>
      </c>
      <c r="I23" s="208">
        <f t="shared" si="4"/>
        <v>190.87747119458436</v>
      </c>
      <c r="J23" s="208">
        <f t="shared" si="4"/>
        <v>198.51257004236774</v>
      </c>
      <c r="K23" s="208">
        <f t="shared" si="4"/>
        <v>206.45307284406246</v>
      </c>
      <c r="L23" s="208">
        <f t="shared" si="4"/>
        <v>214.71119575782495</v>
      </c>
      <c r="M23" s="208">
        <f t="shared" si="4"/>
        <v>223.29964358813797</v>
      </c>
      <c r="N23" s="209">
        <f t="shared" si="4"/>
        <v>232.2316293316635</v>
      </c>
      <c r="O23" s="206">
        <f>SUM(E23:N23)</f>
        <v>1958.9508038660879</v>
      </c>
      <c r="Q23" s="39"/>
    </row>
    <row r="24" spans="2:17" ht="16.5" thickBot="1">
      <c r="B24" s="357" t="s">
        <v>244</v>
      </c>
      <c r="C24" s="358"/>
      <c r="D24" s="207">
        <f>H10*D8</f>
        <v>46.112947658402199</v>
      </c>
      <c r="E24" s="208">
        <f t="shared" ref="E24:N24" si="5">D24*(1+$D$9)</f>
        <v>47.957465564738285</v>
      </c>
      <c r="F24" s="208">
        <f t="shared" si="5"/>
        <v>49.875764187327817</v>
      </c>
      <c r="G24" s="208">
        <f t="shared" si="5"/>
        <v>51.870794754820935</v>
      </c>
      <c r="H24" s="208">
        <f t="shared" si="5"/>
        <v>53.945626545013774</v>
      </c>
      <c r="I24" s="208">
        <f t="shared" si="5"/>
        <v>56.103451606814325</v>
      </c>
      <c r="J24" s="208">
        <f t="shared" si="5"/>
        <v>58.347589671086901</v>
      </c>
      <c r="K24" s="208">
        <f t="shared" si="5"/>
        <v>60.681493257930377</v>
      </c>
      <c r="L24" s="208">
        <f t="shared" si="5"/>
        <v>63.108752988247595</v>
      </c>
      <c r="M24" s="208">
        <f t="shared" si="5"/>
        <v>65.633103107777501</v>
      </c>
      <c r="N24" s="209">
        <f t="shared" si="5"/>
        <v>68.258427232088607</v>
      </c>
      <c r="O24" s="206">
        <f>SUM(E24:N24)</f>
        <v>575.78246891584615</v>
      </c>
      <c r="Q24" s="39"/>
    </row>
    <row r="25" spans="2:17" ht="16.5" thickBot="1">
      <c r="B25" s="357" t="s">
        <v>194</v>
      </c>
      <c r="C25" s="358"/>
      <c r="D25" s="210">
        <f>H11*D8</f>
        <v>4407.7630940137769</v>
      </c>
      <c r="E25" s="208">
        <f t="shared" ref="E25:N25" si="6">D25*(1+$D$10)</f>
        <v>4539.9959868341903</v>
      </c>
      <c r="F25" s="208">
        <f t="shared" si="6"/>
        <v>4676.1958664392159</v>
      </c>
      <c r="G25" s="208">
        <f t="shared" si="6"/>
        <v>4816.4817424323928</v>
      </c>
      <c r="H25" s="208">
        <f t="shared" si="6"/>
        <v>4960.9761947053648</v>
      </c>
      <c r="I25" s="208">
        <f t="shared" si="6"/>
        <v>5109.8054805465263</v>
      </c>
      <c r="J25" s="208">
        <f t="shared" si="6"/>
        <v>5263.099644962922</v>
      </c>
      <c r="K25" s="208">
        <f t="shared" si="6"/>
        <v>5420.9926343118095</v>
      </c>
      <c r="L25" s="208">
        <f t="shared" si="6"/>
        <v>5583.6224133411642</v>
      </c>
      <c r="M25" s="208">
        <f t="shared" si="6"/>
        <v>5751.1310857413991</v>
      </c>
      <c r="N25" s="209">
        <f t="shared" si="6"/>
        <v>5923.6650183136417</v>
      </c>
      <c r="O25" s="206">
        <f>SUM(E25:N25)</f>
        <v>52045.966067628622</v>
      </c>
      <c r="Q25" s="39"/>
    </row>
    <row r="26" spans="2:17" ht="16.5" thickBot="1">
      <c r="B26" s="357" t="s">
        <v>196</v>
      </c>
      <c r="C26" s="358"/>
      <c r="D26" s="211">
        <f>H12*D8</f>
        <v>1115.750032546433</v>
      </c>
      <c r="E26" s="212">
        <f t="shared" ref="E26:N26" si="7">D26*(1+$D$11)</f>
        <v>1149.2225335228261</v>
      </c>
      <c r="F26" s="212">
        <f t="shared" si="7"/>
        <v>1183.6992095285109</v>
      </c>
      <c r="G26" s="212">
        <f t="shared" si="7"/>
        <v>1219.2101858143662</v>
      </c>
      <c r="H26" s="212">
        <f t="shared" si="7"/>
        <v>1255.7864913887972</v>
      </c>
      <c r="I26" s="212">
        <f t="shared" si="7"/>
        <v>1293.4600861304611</v>
      </c>
      <c r="J26" s="212">
        <f t="shared" si="7"/>
        <v>1332.2638887143751</v>
      </c>
      <c r="K26" s="212">
        <f t="shared" si="7"/>
        <v>1372.2318053758063</v>
      </c>
      <c r="L26" s="212">
        <f t="shared" si="7"/>
        <v>1413.3987595370804</v>
      </c>
      <c r="M26" s="212">
        <f t="shared" si="7"/>
        <v>1455.800722323193</v>
      </c>
      <c r="N26" s="213">
        <f t="shared" si="7"/>
        <v>1499.4747439928888</v>
      </c>
      <c r="O26" s="206">
        <f>SUM(E26:N26)</f>
        <v>13174.548426328303</v>
      </c>
      <c r="Q26" s="39"/>
    </row>
    <row r="27" spans="2:17" ht="16.5" thickBot="1">
      <c r="B27" s="391" t="s">
        <v>313</v>
      </c>
      <c r="C27" s="392"/>
      <c r="D27" s="214">
        <f>SUM(D22:D26)</f>
        <v>7174.9205651924021</v>
      </c>
      <c r="E27" s="214">
        <f>SUM(E22:E26)</f>
        <v>7406.6822565344955</v>
      </c>
      <c r="F27" s="214">
        <f t="shared" ref="F27:N27" si="8">SUM(F22:F26)</f>
        <v>7646.0573615923058</v>
      </c>
      <c r="G27" s="214">
        <f t="shared" si="8"/>
        <v>7893.3007052963203</v>
      </c>
      <c r="H27" s="214">
        <f t="shared" si="8"/>
        <v>8148.6758142257058</v>
      </c>
      <c r="I27" s="214">
        <f t="shared" si="8"/>
        <v>8412.4552199337941</v>
      </c>
      <c r="J27" s="214">
        <f t="shared" si="8"/>
        <v>8684.9207730643757</v>
      </c>
      <c r="K27" s="214">
        <f t="shared" si="8"/>
        <v>8966.3639686501774</v>
      </c>
      <c r="L27" s="214">
        <f t="shared" si="8"/>
        <v>9257.0862829993075</v>
      </c>
      <c r="M27" s="214">
        <f t="shared" si="8"/>
        <v>9557.3995225904982</v>
      </c>
      <c r="N27" s="215">
        <f t="shared" si="8"/>
        <v>9867.6261854134736</v>
      </c>
      <c r="O27" s="206">
        <f>SUM(O22:O26)</f>
        <v>85840.56809030044</v>
      </c>
      <c r="Q27" s="39"/>
    </row>
    <row r="28" spans="2:17" ht="6.75" customHeight="1" thickBot="1">
      <c r="B28" s="399"/>
      <c r="C28" s="400"/>
      <c r="D28" s="173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5"/>
      <c r="Q28" s="39"/>
    </row>
    <row r="29" spans="2:17" ht="33.75" hidden="1" customHeight="1" thickBot="1">
      <c r="B29" s="355"/>
      <c r="C29" s="356"/>
      <c r="D29" s="176" t="e">
        <f>(#REF!)</f>
        <v>#REF!</v>
      </c>
      <c r="E29" s="171" t="e">
        <f>(D29 + D30)*1.06</f>
        <v>#REF!</v>
      </c>
      <c r="F29" s="171" t="e">
        <f>(E29 + E30)*1.06</f>
        <v>#REF!</v>
      </c>
      <c r="G29" s="171" t="e">
        <f t="shared" ref="G29:N29" si="9">(F29 + F30)*1.06</f>
        <v>#REF!</v>
      </c>
      <c r="H29" s="171" t="e">
        <f t="shared" si="9"/>
        <v>#REF!</v>
      </c>
      <c r="I29" s="171" t="e">
        <f t="shared" si="9"/>
        <v>#REF!</v>
      </c>
      <c r="J29" s="171" t="e">
        <f t="shared" si="9"/>
        <v>#REF!</v>
      </c>
      <c r="K29" s="171" t="e">
        <f t="shared" si="9"/>
        <v>#REF!</v>
      </c>
      <c r="L29" s="171" t="e">
        <f t="shared" si="9"/>
        <v>#REF!</v>
      </c>
      <c r="M29" s="171" t="e">
        <f t="shared" si="9"/>
        <v>#REF!</v>
      </c>
      <c r="N29" s="172" t="e">
        <f t="shared" si="9"/>
        <v>#REF!</v>
      </c>
      <c r="O29" s="166" t="s">
        <v>242</v>
      </c>
      <c r="Q29" s="39"/>
    </row>
    <row r="30" spans="2:17" ht="34.5" customHeight="1" thickBot="1">
      <c r="B30" s="401" t="s">
        <v>275</v>
      </c>
      <c r="C30" s="402"/>
      <c r="D30" s="440"/>
      <c r="E30" s="59"/>
      <c r="F30" s="59"/>
      <c r="G30" s="59"/>
      <c r="H30" s="59"/>
      <c r="I30" s="59"/>
      <c r="J30" s="59"/>
      <c r="K30" s="59"/>
      <c r="L30" s="59"/>
      <c r="M30" s="59"/>
      <c r="N30" s="60"/>
      <c r="O30" s="177">
        <f>SUM(E30:N30)</f>
        <v>0</v>
      </c>
      <c r="Q30" s="39"/>
    </row>
    <row r="31" spans="2:17" ht="16.5" customHeight="1" thickBot="1">
      <c r="B31" s="391" t="s">
        <v>314</v>
      </c>
      <c r="C31" s="392"/>
      <c r="D31" s="216">
        <f>SUM(D27+D30)</f>
        <v>7174.9205651924021</v>
      </c>
      <c r="E31" s="216">
        <f t="shared" ref="E31:O31" si="10">SUM(E27+E30)</f>
        <v>7406.6822565344955</v>
      </c>
      <c r="F31" s="216">
        <f t="shared" si="10"/>
        <v>7646.0573615923058</v>
      </c>
      <c r="G31" s="216">
        <f t="shared" si="10"/>
        <v>7893.3007052963203</v>
      </c>
      <c r="H31" s="216">
        <f t="shared" si="10"/>
        <v>8148.6758142257058</v>
      </c>
      <c r="I31" s="216">
        <f t="shared" si="10"/>
        <v>8412.4552199337941</v>
      </c>
      <c r="J31" s="216">
        <f t="shared" si="10"/>
        <v>8684.9207730643757</v>
      </c>
      <c r="K31" s="216">
        <f t="shared" si="10"/>
        <v>8966.3639686501774</v>
      </c>
      <c r="L31" s="216">
        <f t="shared" si="10"/>
        <v>9257.0862829993075</v>
      </c>
      <c r="M31" s="216">
        <f t="shared" si="10"/>
        <v>9557.3995225904982</v>
      </c>
      <c r="N31" s="217">
        <f t="shared" si="10"/>
        <v>9867.6261854134736</v>
      </c>
      <c r="O31" s="218">
        <f t="shared" si="10"/>
        <v>85840.56809030044</v>
      </c>
      <c r="Q31" s="39"/>
    </row>
    <row r="32" spans="2:17" ht="16.5" thickBot="1">
      <c r="B32" s="178"/>
      <c r="C32" s="179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1"/>
      <c r="Q32" s="39"/>
    </row>
    <row r="33" spans="2:17" ht="26.25" customHeight="1">
      <c r="B33" s="354" t="s">
        <v>276</v>
      </c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9"/>
    </row>
    <row r="34" spans="2:17">
      <c r="B34" s="441" t="s">
        <v>350</v>
      </c>
      <c r="C34" s="441"/>
      <c r="D34" s="441"/>
      <c r="E34" s="441"/>
      <c r="Q34" s="39"/>
    </row>
    <row r="35" spans="2:17">
      <c r="Q35" s="39"/>
    </row>
    <row r="36" spans="2:17">
      <c r="Q36" s="39"/>
    </row>
    <row r="37" spans="2:17">
      <c r="Q37" s="39"/>
    </row>
    <row r="38" spans="2:17">
      <c r="Q38" s="39"/>
    </row>
    <row r="39" spans="2:17">
      <c r="Q39" s="39"/>
    </row>
  </sheetData>
  <sheetProtection algorithmName="SHA-512" hashValue="yb5NxBduiCtx6gXkvfM59iJ7svTUuXFVKe2aFbjehxHCph1pLTAtc6vlngWHOf57DnhKz/TJ1T0ENGESfBqGRQ==" saltValue="wdzWW2NM6Tsxjid+49D73A==" spinCount="100000" sheet="1" objects="1" scenarios="1"/>
  <mergeCells count="43">
    <mergeCell ref="B28:C28"/>
    <mergeCell ref="B30:C30"/>
    <mergeCell ref="B31:C31"/>
    <mergeCell ref="B21:C21"/>
    <mergeCell ref="B22:C22"/>
    <mergeCell ref="J14:K14"/>
    <mergeCell ref="M13:O13"/>
    <mergeCell ref="M14:O14"/>
    <mergeCell ref="B26:C26"/>
    <mergeCell ref="B27:C27"/>
    <mergeCell ref="B23:C23"/>
    <mergeCell ref="B25:C25"/>
    <mergeCell ref="B15:C15"/>
    <mergeCell ref="B16:C16"/>
    <mergeCell ref="B17:C17"/>
    <mergeCell ref="B20:C20"/>
    <mergeCell ref="B19:C19"/>
    <mergeCell ref="B1:O1"/>
    <mergeCell ref="B2:O2"/>
    <mergeCell ref="B8:C8"/>
    <mergeCell ref="B9:C9"/>
    <mergeCell ref="J10:K10"/>
    <mergeCell ref="M10:N10"/>
    <mergeCell ref="G4:I4"/>
    <mergeCell ref="J8:O8"/>
    <mergeCell ref="J7:L7"/>
    <mergeCell ref="B7:C7"/>
    <mergeCell ref="B33:O33"/>
    <mergeCell ref="B29:C29"/>
    <mergeCell ref="B24:C24"/>
    <mergeCell ref="M7:O7"/>
    <mergeCell ref="G7:H7"/>
    <mergeCell ref="O16:O17"/>
    <mergeCell ref="E16:N16"/>
    <mergeCell ref="J9:K9"/>
    <mergeCell ref="M9:N9"/>
    <mergeCell ref="B18:C18"/>
    <mergeCell ref="J11:K11"/>
    <mergeCell ref="B11:C11"/>
    <mergeCell ref="J13:K13"/>
    <mergeCell ref="M11:O11"/>
    <mergeCell ref="J12:K12"/>
    <mergeCell ref="M12:O12"/>
  </mergeCells>
  <pageMargins left="0.25" right="0.25" top="0.75" bottom="0.75" header="0.3" footer="0.3"/>
  <pageSetup scale="46" orientation="landscape" r:id="rId1"/>
  <ignoredErrors>
    <ignoredError sqref="O3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E3147A-611A-44AD-9E1F-7695600B9066}">
          <x14:formula1>
            <xm:f>'Campuswide Expenses'!$B$7:$B$46</xm:f>
          </x14:formula1>
          <xm:sqref>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1F17-DBDD-480C-A483-108B2D6450B3}">
  <sheetPr codeName="Sheet4">
    <pageSetUpPr fitToPage="1"/>
  </sheetPr>
  <dimension ref="B1:AL58"/>
  <sheetViews>
    <sheetView topLeftCell="A24" zoomScale="85" zoomScaleNormal="85" workbookViewId="0">
      <selection activeCell="B58" sqref="B58:S58"/>
    </sheetView>
  </sheetViews>
  <sheetFormatPr defaultRowHeight="15"/>
  <cols>
    <col min="1" max="1" width="2.28515625" customWidth="1"/>
    <col min="2" max="2" width="10.140625" customWidth="1"/>
    <col min="3" max="3" width="41" customWidth="1"/>
    <col min="4" max="4" width="9.85546875" customWidth="1"/>
    <col min="5" max="5" width="10.42578125" customWidth="1"/>
    <col min="6" max="7" width="10.28515625" customWidth="1"/>
    <col min="8" max="8" width="8.5703125" hidden="1" customWidth="1"/>
    <col min="9" max="10" width="9.140625" style="7" hidden="1" customWidth="1"/>
    <col min="11" max="11" width="11.5703125" style="7" hidden="1" customWidth="1"/>
    <col min="12" max="12" width="9.140625" style="7" hidden="1" customWidth="1"/>
    <col min="13" max="13" width="19.140625" style="7" hidden="1" customWidth="1"/>
    <col min="14" max="14" width="14.7109375" hidden="1" customWidth="1"/>
    <col min="15" max="15" width="16.140625" hidden="1" customWidth="1"/>
    <col min="16" max="16" width="11.7109375" hidden="1" customWidth="1"/>
    <col min="17" max="17" width="10.7109375" hidden="1" customWidth="1"/>
    <col min="18" max="18" width="1.140625" hidden="1" customWidth="1"/>
    <col min="19" max="21" width="10.7109375" customWidth="1"/>
    <col min="22" max="22" width="12.42578125" customWidth="1"/>
    <col min="23" max="23" width="18.7109375" customWidth="1"/>
    <col min="24" max="36" width="15.85546875" hidden="1" customWidth="1"/>
    <col min="37" max="38" width="18" customWidth="1"/>
    <col min="40" max="40" width="96.7109375" customWidth="1"/>
  </cols>
  <sheetData>
    <row r="1" spans="2:38" ht="15.75" thickBot="1"/>
    <row r="2" spans="2:38" ht="51.75" customHeight="1" thickBot="1">
      <c r="B2" s="415" t="s">
        <v>320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7"/>
    </row>
    <row r="3" spans="2:38" ht="27" thickBot="1">
      <c r="B3" s="410" t="str">
        <f>'Summary Data'!$A$1</f>
        <v>Santa Ana College</v>
      </c>
      <c r="C3" s="411"/>
      <c r="D3" s="411"/>
      <c r="E3" s="411"/>
      <c r="F3" s="411"/>
      <c r="G3" s="411"/>
      <c r="H3" s="411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81" t="s">
        <v>354</v>
      </c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418" t="str">
        <f>'Summary Data'!$D$1</f>
        <v>2020-2021</v>
      </c>
      <c r="AL3" s="419"/>
    </row>
    <row r="4" spans="2:38" ht="9.75" hidden="1" customHeight="1" thickBot="1"/>
    <row r="5" spans="2:38" ht="63" customHeight="1" thickBot="1">
      <c r="B5" s="28" t="s">
        <v>41</v>
      </c>
      <c r="C5" s="28" t="s">
        <v>42</v>
      </c>
      <c r="D5" s="28" t="s">
        <v>43</v>
      </c>
      <c r="E5" s="28" t="s">
        <v>44</v>
      </c>
      <c r="F5" s="28" t="s">
        <v>45</v>
      </c>
      <c r="G5" s="28" t="s">
        <v>46</v>
      </c>
      <c r="H5" s="28" t="s">
        <v>47</v>
      </c>
      <c r="I5" s="29" t="s">
        <v>48</v>
      </c>
      <c r="J5" s="29" t="s">
        <v>49</v>
      </c>
      <c r="K5" s="29" t="s">
        <v>50</v>
      </c>
      <c r="L5" s="29" t="s">
        <v>51</v>
      </c>
      <c r="M5" s="29" t="s">
        <v>52</v>
      </c>
      <c r="N5" s="28" t="s">
        <v>53</v>
      </c>
      <c r="O5" s="28" t="s">
        <v>54</v>
      </c>
      <c r="P5" s="28" t="s">
        <v>55</v>
      </c>
      <c r="Q5" s="28" t="s">
        <v>31</v>
      </c>
      <c r="R5" s="28" t="s">
        <v>32</v>
      </c>
      <c r="S5" s="28" t="s">
        <v>243</v>
      </c>
      <c r="T5" s="28" t="s">
        <v>30</v>
      </c>
      <c r="U5" s="28" t="s">
        <v>34</v>
      </c>
      <c r="V5" s="28" t="s">
        <v>33</v>
      </c>
      <c r="W5" s="30" t="s">
        <v>355</v>
      </c>
      <c r="X5" s="31" t="s">
        <v>197</v>
      </c>
      <c r="Y5" s="31" t="s">
        <v>198</v>
      </c>
      <c r="Z5" s="31" t="s">
        <v>199</v>
      </c>
      <c r="AA5" s="31" t="s">
        <v>200</v>
      </c>
      <c r="AB5" s="31" t="s">
        <v>269</v>
      </c>
      <c r="AC5" s="31" t="s">
        <v>202</v>
      </c>
      <c r="AD5" s="31" t="s">
        <v>203</v>
      </c>
      <c r="AE5" s="31" t="s">
        <v>199</v>
      </c>
      <c r="AF5" s="31" t="s">
        <v>200</v>
      </c>
      <c r="AG5" s="31" t="s">
        <v>269</v>
      </c>
      <c r="AH5" s="31" t="s">
        <v>202</v>
      </c>
      <c r="AI5" s="31" t="s">
        <v>203</v>
      </c>
      <c r="AJ5" s="304" t="s">
        <v>298</v>
      </c>
      <c r="AK5" s="30" t="s">
        <v>318</v>
      </c>
      <c r="AL5" s="30" t="s">
        <v>319</v>
      </c>
    </row>
    <row r="6" spans="2:38" ht="15.75" thickBot="1">
      <c r="B6" s="32" t="s">
        <v>56</v>
      </c>
      <c r="C6" s="33"/>
      <c r="D6" s="33"/>
      <c r="E6" s="33"/>
      <c r="F6" s="33"/>
      <c r="G6" s="56"/>
      <c r="H6" s="51"/>
      <c r="I6" s="34"/>
      <c r="J6" s="35"/>
      <c r="K6" s="36"/>
      <c r="L6" s="36"/>
      <c r="M6" s="37" t="s">
        <v>57</v>
      </c>
      <c r="N6" s="426" t="s">
        <v>58</v>
      </c>
      <c r="O6" s="427"/>
      <c r="P6" s="412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4"/>
    </row>
    <row r="7" spans="2:38" ht="15.75">
      <c r="B7" s="238" t="s">
        <v>59</v>
      </c>
      <c r="C7" s="239" t="s">
        <v>60</v>
      </c>
      <c r="D7" s="238">
        <v>1996</v>
      </c>
      <c r="E7" s="238"/>
      <c r="F7" s="240">
        <v>68459</v>
      </c>
      <c r="G7" s="241">
        <v>45086</v>
      </c>
      <c r="H7" s="242">
        <v>0.65859999999999996</v>
      </c>
      <c r="I7" s="243">
        <v>112</v>
      </c>
      <c r="J7" s="244">
        <v>1272</v>
      </c>
      <c r="K7" s="245"/>
      <c r="L7" s="245" t="s">
        <v>59</v>
      </c>
      <c r="M7" s="246">
        <f>'FUSION Assessment'!$F$4</f>
        <v>33324472.02</v>
      </c>
      <c r="N7" s="247" t="str">
        <f>IFERROR(VLOOKUP($AK$3,'Summary Data'!#REF!,2,0),"")</f>
        <v/>
      </c>
      <c r="O7" s="241" t="e">
        <f>N7*80%</f>
        <v>#VALUE!</v>
      </c>
      <c r="P7" s="248">
        <v>80</v>
      </c>
      <c r="Q7" s="182">
        <f t="shared" ref="Q7:Q46" si="0">(F7)*$H$51</f>
        <v>109896.85555757463</v>
      </c>
      <c r="R7" s="182">
        <f t="shared" ref="R7:R46" si="1">F7*$H$52</f>
        <v>3156.8462837465563</v>
      </c>
      <c r="S7" s="182">
        <f>SUM(Q7:R7)</f>
        <v>113053.70184132119</v>
      </c>
      <c r="T7" s="182">
        <f t="shared" ref="T7:T46" si="2">F7*$H$53</f>
        <v>76383.131478096257</v>
      </c>
      <c r="U7" s="183">
        <f t="shared" ref="U7:U46" si="3">F7*$H$54</f>
        <v>0</v>
      </c>
      <c r="V7" s="182">
        <f t="shared" ref="V7:V46" si="4">F7*$H$55</f>
        <v>301751.05365308915</v>
      </c>
      <c r="W7" s="182">
        <f>S7+T7+U7+V7</f>
        <v>491187.88697250659</v>
      </c>
      <c r="X7" s="184" t="e">
        <f t="shared" ref="X7:X46" si="5">N7*((1+5%)/1)^(10*1)</f>
        <v>#VALUE!</v>
      </c>
      <c r="Y7" s="185" t="e">
        <f>X7*80%</f>
        <v>#VALUE!</v>
      </c>
      <c r="Z7" s="184">
        <f>Q7*((1+4%)/1)^(1*1)+Q7*((1+4%)/1)^(2*1)+Q7*((1+4%)/1)^(3*1)+Q7*((1+4%)/1)^(4*1)+Q7*((1+4%)/1)^(5*1)+Q7*((1+4%)/1)^(6*1)+Q7*((1+4%)/1)^(7*1)+Q7*((1+4%)/1)^(8*1)+Q7*((1+4%)/1)^(9*1)+Q7*((1+4%)/1)^(10*1)</f>
        <v>1372210.757112571</v>
      </c>
      <c r="AA7" s="184">
        <f>R7*((1+4%)/1)^(1*1)+R7*((1+4%)/1)^(2*1)+R7*((1+4%)/1)^(3*1)+R7*((1+4%)/1)^(4*1)+R7*((1+4%)/1)^(5*1)+R7*((1+4%)/1)^(6*1)+R7*((1+4%)/1)^(7*1)+R7*((1+4%)/1)^(8*1)+R7*((1+4%)/1)^(9*1)+R7*((1+4%)/1)^(10*1)</f>
        <v>39417.492039509911</v>
      </c>
      <c r="AB7" s="184">
        <f>T7*((1+3%)/1)^(1*1)+T7*((1+3%)/1)^(2*1)+T7*((1+3%)/1)^(3*1)+T7*((1+3%)/1)^(4*1)+T7*((1+3%)/1)^(5*1)+T7*((1+3%)/1)^(6*1)+T7*((1+3%)/1)^(7*1)+T7*((1+3%)/1)^(8*1)+T7*((1+3%)/1)^(9*1)+T7*((1+3%)/1)^(10*1)</f>
        <v>901916.41071800911</v>
      </c>
      <c r="AC7" s="184">
        <f>U7*((1+3%)/1)^(1*1)+U7*((1+3%)/1)^(2*1)+U7*((1+3%)/1)^(3*1)+U7*((1+3%)/1)^(4*1)+U7*((1+3%)/1)^(5*1)+U7*((1+3%)/1)^(6*1)+U7*((1+3%)/1)^(7*1)+U7*((1+3%)/1)^(8*1)+U7*((1+3%)/1)^(9*1)+U7*((1+3%)/1)^(10*1)</f>
        <v>0</v>
      </c>
      <c r="AD7" s="184">
        <f>V7*((1+3%)/1)^(1*1)+V7*((1+3%)/1)^(2*1)+V7*((1+3%)/1)^(3*1)+V7*((1+3%)/1)^(4*1)+V7*((1+3%)/1)^(5*1)+V7*((1+3%)/1)^(6*1)+V7*((1+3%)/1)^(7*1)+V7*((1+3%)/1)^(8*1)+V7*((1+3%)/1)^(9*1)+V7*((1+3%)/1)^(10*1)</f>
        <v>3563014.7910237876</v>
      </c>
      <c r="AE7" s="184">
        <f t="shared" ref="AE7:AE46" si="6">Q7*((1+4%)/1)^(1*1)+Q7*((1+4%)/1)^(2*1)+Q7*((1+4%)/1)^(3*1)+Q7*((1+4%)/1)^(4*1)+Q7*((1+4%)/1)^(5*1)+Q7*((1+4%)/1)^(6*1)+Q7*((1+4%)/1)^(7*1)+Q7*((1+4%)/1)^(8*1)+Q7*((1+4%)/1)^(9*1)+Q7*((1+4%)/1)^(10*1)+Q7*((1+4%)/1)^(11*1)+Q7*((1+4%)/1)^(12*1)+Q7*((1+4%)/1)^(13*1)+Q7*((1+4%)/1)^(AE802*1)+Q7*((1+4%)/1)^(15*1)+Q7*((1+4%)/1)^(16*1)+Q7*((1+4%)/1)^(17*1)+Q7*((1+4%)/1)^(18*1)+Q7*((1+4%)/1)^(19*1)+Q7*((1+4%)/1)^(20*1)</f>
        <v>3323008.9471548446</v>
      </c>
      <c r="AF7" s="184">
        <f>R7*((1+4%)/1)^(1*1)+R7*((1+4%)/1)^(2*1)+R7*((1+4%)/1)^(3*1)+R7*((1+4%)/1)^(4*1)+R7*((1+4%)/1)^(5*1)+R7*((1+4%)/1)^(6*1)+R7*((1+4%)/1)^(7*1)+R7*((1+4%)/1)^(8*1)+R7*((1+4%)/1)^(9*1)+R7*((1+4%)/1)^(10*1)+R7*((1+4%)/1)^(11*1)+R7*((1+4%)/1)^(12*1)+R7*((1+4%)/1)^(13*1)+R7*((1+4%)/1)^(14*1)+R7*((1+4%)/1)^(15*1)+R7*((1+4%)/1)^(16*1)+R7*((1+4%)/1)^(17*1)+R7*((1+4%)/1)^(18*1)+R7*((1+4%)/1)^(19*1)+R7*((1+4%)/1)^(20*1)</f>
        <v>97765.00935680882</v>
      </c>
      <c r="AG7" s="184">
        <f>T7*((1+4%)/1)^(1*1)+T7*((1+4%)/1)^(2*1)+T7*((1+4%)/1)^(3*1)+T7*((1+4%)/1)^(4*1)+T7*((1+4%)/1)^(5*1)+T7*((1+4%)/1)^(6*1)+T7*((1+4%)/1)^(7*1)+T7*((1+4%)/1)^(8*1)+T7*((1+4%)/1)^(9*1)+T7*((1+4%)/1)^(10*1)+T7*((1+4%)/1)^(11*1)+T7*((1+4%)/1)^(12*1)+T7*((1+4%)/1)^(13*1)+T7*((1+4%)/1)^(14*1)+T7*((1+4%)/1)^(15*1)+T7*((1+4%)/1)^(16*1)+T7*((1+4%)/1)^(17*1)+T7*((1+4%)/1)^(18*1)+T7*((1+4%)/1)^(19*1)+T7*((1+4%)/1)^(20*1)</f>
        <v>2365524.6066640494</v>
      </c>
      <c r="AH7" s="184">
        <f>U7*((1+4%)/1)^(1*1)+U7*((1+4%)/1)^(2*1)+U7*((1+4%)/1)^(3*1)+U7*((1+4%)/1)^(4*1)+U7*((1+4%)/1)^(5*1)+U7*((1+4%)/1)^(6*1)+U7*((1+4%)/1)^(7*1)+U7*((1+4%)/1)^(8*1)+U7*((1+4%)/1)^(9*1)+U7*((1+4%)/1)^(10*1)+U7*((1+4%)/1)^(11*1)+U7*((1+4%)/1)^(12*1)+U7*((1+4%)/1)^(13*1)+U7*((1+4%)/1)^(14*1)+U7*((1+4%)/1)^(15*1)+U7*((1+4%)/1)^(16*1)+U7*((1+4%)/1)^(17*1)+U7*((1+4%)/1)^(18*1)+U7*((1+4%)/1)^(19*1)+U7*((1+4%)/1)^(20*1)</f>
        <v>0</v>
      </c>
      <c r="AI7" s="184">
        <f>V7*((1+4%)/1)^(1*1)+V7*((1+4%)/1)^(2*1)+V7*((1+4%)/1)^(3*1)+V7*((1+4%)/1)^(4*1)+V7*((1+4%)/1)^(5*1)+V7*((1+4%)/1)^(6*1)+V7*((1+4%)/1)^(7*1)+V7*((1+4%)/1)^(8*1)+V7*((1+4%)/1)^(9*1)+V7*((1+4%)/1)^(10*1)+V7*((1+4%)/1)^(11*1)+V7*((1+4%)/1)^(12*1)+V7*((1+4%)/1)^(13*1)+V7*((1+4%)/1)^(14*1)+V7*((1+4%)/1)^(15*1)+V7*((1+4%)/1)^(16*1)+V7*((1+4%)/1)^(17*1)+V7*((1+4%)/1)^(18*1)+V7*((1+4%)/1)^(19*1)+V7*((1+4%)/1)^(20*1)</f>
        <v>9344989.2494637594</v>
      </c>
      <c r="AJ7" s="184">
        <f>IF('Expenses by Building'!$O$4=B7,'Expenses by Building'!$O$30,0)</f>
        <v>0</v>
      </c>
      <c r="AK7" s="182">
        <f>Z7+AA7+AB7+AC7+AD7+AJ7</f>
        <v>5876559.4508938771</v>
      </c>
      <c r="AL7" s="182">
        <f>AE7+AF7+AG7+AH7+AI7+AJ7</f>
        <v>15131287.812639462</v>
      </c>
    </row>
    <row r="8" spans="2:38">
      <c r="B8" s="249" t="s">
        <v>61</v>
      </c>
      <c r="C8" s="250" t="s">
        <v>62</v>
      </c>
      <c r="D8" s="249">
        <v>1995</v>
      </c>
      <c r="E8" s="249">
        <v>2002</v>
      </c>
      <c r="F8" s="251">
        <v>32640</v>
      </c>
      <c r="G8" s="252">
        <v>23309</v>
      </c>
      <c r="H8" s="253">
        <v>0.71409999999999996</v>
      </c>
      <c r="I8" s="254">
        <v>34</v>
      </c>
      <c r="J8" s="254">
        <v>768</v>
      </c>
      <c r="K8" s="255"/>
      <c r="L8" s="255" t="s">
        <v>59</v>
      </c>
      <c r="M8" s="246">
        <f>'FUSION Assessment'!$F$5</f>
        <v>10595596.800000001</v>
      </c>
      <c r="N8" s="247" t="str">
        <f>IFERROR(VLOOKUP($AK$3,'Summary Data'!#REF!,3,0),"")</f>
        <v/>
      </c>
      <c r="O8" s="241" t="e">
        <f>N8*80%</f>
        <v>#VALUE!</v>
      </c>
      <c r="P8" s="249">
        <v>80</v>
      </c>
      <c r="Q8" s="182">
        <f t="shared" si="0"/>
        <v>52396.812185384479</v>
      </c>
      <c r="R8" s="182">
        <f t="shared" si="1"/>
        <v>1505.1266115702479</v>
      </c>
      <c r="S8" s="182">
        <f t="shared" ref="S8:S46" si="7">SUM(Q8:R8)</f>
        <v>53901.938796954724</v>
      </c>
      <c r="T8" s="182">
        <f t="shared" si="2"/>
        <v>36418.08106231557</v>
      </c>
      <c r="U8" s="183">
        <f t="shared" si="3"/>
        <v>0</v>
      </c>
      <c r="V8" s="182">
        <f t="shared" si="4"/>
        <v>143869.3873886097</v>
      </c>
      <c r="W8" s="182">
        <f t="shared" ref="W8:W46" si="8">S8+T8+U8+V8</f>
        <v>234189.40724788001</v>
      </c>
      <c r="X8" s="184" t="e">
        <f t="shared" si="5"/>
        <v>#VALUE!</v>
      </c>
      <c r="Y8" s="185" t="e">
        <f t="shared" ref="Y8:Y47" si="9">X8*80%</f>
        <v>#VALUE!</v>
      </c>
      <c r="Z8" s="184">
        <f t="shared" ref="Z8:Z46" si="10">Q8*((1+4%)/1)^(1*1)+Q8*((1+4%)/1)^(2*1)+Q8*((1+4%)/1)^(3*1)+Q8*((1+4%)/1)^(4*1)+Q8*((1+4%)/1)^(5*1)+Q8*((1+4%)/1)^(6*1)+Q8*((1+4%)/1)^(7*1)+Q8*((1+4%)/1)^(8*1)+Q8*((1+4%)/1)^(9*1)+Q8*((1+4%)/1)^(10*1)</f>
        <v>654245.00959923933</v>
      </c>
      <c r="AA8" s="184">
        <f>R8*((1+4%)/1)^(1*1)+R8*((1+4%)/1)^(2*1)+R8*((1+4%)/1)^(3*1)+R8*((1+4%)/1)^(4*1)+R8*((1+4%)/1)^(5*1)+R8*((1+4%)/1)^(6*1)+R8*((1+4%)/1)^(7*1)+R8*((1+4%)/1)^(8*1)+R8*((1+4%)/1)^(9*1)+R8*((1+4%)/1)^(10*1)</f>
        <v>18793.539785413221</v>
      </c>
      <c r="AB8" s="184">
        <f t="shared" ref="AB8:AB46" si="11">T8*((1+3%)/1)^(1*1)+T8*((1+3%)/1)^(2*1)+T8*((1+3%)/1)^(3*1)+T8*((1+3%)/1)^(4*1)+T8*((1+3%)/1)^(5*1)+T8*((1+3%)/1)^(6*1)+T8*((1+3%)/1)^(7*1)+T8*((1+3%)/1)^(8*1)+T8*((1+3%)/1)^(9*1)+T8*((1+3%)/1)^(10*1)</f>
        <v>430017.26063535572</v>
      </c>
      <c r="AC8" s="184">
        <f t="shared" ref="AC8:AC46" si="12">U8*((1+3%)/1)^(1*1)+U8*((1+3%)/1)^(2*1)+U8*((1+3%)/1)^(3*1)+U8*((1+3%)/1)^(4*1)+U8*((1+3%)/1)^(5*1)+U8*((1+3%)/1)^(6*1)+U8*((1+3%)/1)^(7*1)+U8*((1+3%)/1)^(8*1)+U8*((1+3%)/1)^(9*1)+U8*((1+3%)/1)^(10*1)</f>
        <v>0</v>
      </c>
      <c r="AD8" s="184">
        <f t="shared" ref="AD8:AD46" si="13">V8*((1+3%)/1)^(1*1)+V8*((1+3%)/1)^(2*1)+V8*((1+3%)/1)^(3*1)+V8*((1+3%)/1)^(4*1)+V8*((1+3%)/1)^(5*1)+V8*((1+3%)/1)^(6*1)+V8*((1+3%)/1)^(7*1)+V8*((1+3%)/1)^(8*1)+V8*((1+3%)/1)^(9*1)+V8*((1+3%)/1)^(10*1)</f>
        <v>1698780.3324473982</v>
      </c>
      <c r="AE8" s="184">
        <f t="shared" si="6"/>
        <v>1584349.9325893472</v>
      </c>
      <c r="AF8" s="184">
        <f t="shared" ref="AF8:AF46" si="14">R8*((1+4%)/1)^(1*1)+R8*((1+4%)/1)^(2*1)+R8*((1+4%)/1)^(3*1)+R8*((1+4%)/1)^(4*1)+R8*((1+4%)/1)^(5*1)+R8*((1+4%)/1)^(6*1)+R8*((1+4%)/1)^(7*1)+R8*((1+4%)/1)^(8*1)+R8*((1+4%)/1)^(9*1)+R8*((1+4%)/1)^(10*1)+R8*((1+4%)/1)^(11*1)+R8*((1+4%)/1)^(12*1)+R8*((1+4%)/1)^(13*1)+R8*((1+4%)/1)^(14*1)+R8*((1+4%)/1)^(15*1)+R8*((1+4%)/1)^(16*1)+R8*((1+4%)/1)^(17*1)+R8*((1+4%)/1)^(18*1)+R8*((1+4%)/1)^(19*1)+R8*((1+4%)/1)^(20*1)</f>
        <v>46612.569646156677</v>
      </c>
      <c r="AG8" s="184">
        <f t="shared" ref="AG8:AG46" si="15">T8*((1+4%)/1)^(1*1)+T8*((1+4%)/1)^(2*1)+T8*((1+4%)/1)^(3*1)+T8*((1+4%)/1)^(4*1)+T8*((1+4%)/1)^(5*1)+T8*((1+4%)/1)^(6*1)+T8*((1+4%)/1)^(7*1)+T8*((1+4%)/1)^(8*1)+T8*((1+4%)/1)^(9*1)+T8*((1+4%)/1)^(10*1)+T8*((1+4%)/1)^(11*1)+T8*((1+4%)/1)^(12*1)+T8*((1+4%)/1)^(13*1)+T8*((1+4%)/1)^(14*1)+T8*((1+4%)/1)^(15*1)+T8*((1+4%)/1)^(16*1)+T8*((1+4%)/1)^(17*1)+T8*((1+4%)/1)^(18*1)+T8*((1+4%)/1)^(19*1)+T8*((1+4%)/1)^(20*1)</f>
        <v>1127838.8986329709</v>
      </c>
      <c r="AH8" s="184">
        <f t="shared" ref="AH8:AH46" si="16">U8*((1+4%)/1)^(1*1)+U8*((1+4%)/1)^(2*1)+U8*((1+4%)/1)^(3*1)+U8*((1+4%)/1)^(4*1)+U8*((1+4%)/1)^(5*1)+U8*((1+4%)/1)^(6*1)+U8*((1+4%)/1)^(7*1)+U8*((1+4%)/1)^(8*1)+U8*((1+4%)/1)^(9*1)+U8*((1+4%)/1)^(10*1)+U8*((1+4%)/1)^(11*1)+U8*((1+4%)/1)^(12*1)+U8*((1+4%)/1)^(13*1)+U8*((1+4%)/1)^(14*1)+U8*((1+4%)/1)^(15*1)+U8*((1+4%)/1)^(16*1)+U8*((1+4%)/1)^(17*1)+U8*((1+4%)/1)^(18*1)+U8*((1+4%)/1)^(19*1)+U8*((1+4%)/1)^(20*1)</f>
        <v>0</v>
      </c>
      <c r="AI8" s="184">
        <f t="shared" ref="AI8:AI46" si="17">V8*((1+4%)/1)^(1*1)+V8*((1+4%)/1)^(2*1)+V8*((1+4%)/1)^(3*1)+V8*((1+4%)/1)^(4*1)+V8*((1+4%)/1)^(5*1)+V8*((1+4%)/1)^(6*1)+V8*((1+4%)/1)^(7*1)+V8*((1+4%)/1)^(8*1)+V8*((1+4%)/1)^(9*1)+V8*((1+4%)/1)^(10*1)+V8*((1+4%)/1)^(11*1)+V8*((1+4%)/1)^(12*1)+V8*((1+4%)/1)^(13*1)+V8*((1+4%)/1)^(14*1)+V8*((1+4%)/1)^(15*1)+V8*((1+4%)/1)^(16*1)+V8*((1+4%)/1)^(17*1)+V8*((1+4%)/1)^(18*1)+V8*((1+4%)/1)^(19*1)+V8*((1+4%)/1)^(20*1)</f>
        <v>4455520.0792079493</v>
      </c>
      <c r="AJ8" s="184">
        <f>IF('Expenses by Building'!$O$4=B8,'Expenses by Building'!$O$30,0)</f>
        <v>0</v>
      </c>
      <c r="AK8" s="182">
        <f t="shared" ref="AK8:AK46" si="18">Z8+AA8+AB8+AC8+AD8+AJ8</f>
        <v>2801836.1424674066</v>
      </c>
      <c r="AL8" s="182">
        <f t="shared" ref="AL8:AL46" si="19">AE8+AF8+AG8+AH8+AI8+AJ8</f>
        <v>7214321.4800764238</v>
      </c>
    </row>
    <row r="9" spans="2:38" ht="15.75">
      <c r="B9" s="249" t="s">
        <v>63</v>
      </c>
      <c r="C9" s="250" t="s">
        <v>64</v>
      </c>
      <c r="D9" s="249">
        <v>1972</v>
      </c>
      <c r="E9" s="249"/>
      <c r="F9" s="251">
        <v>22537</v>
      </c>
      <c r="G9" s="252">
        <v>17201</v>
      </c>
      <c r="H9" s="253">
        <v>0.76319999999999999</v>
      </c>
      <c r="I9" s="254">
        <v>41</v>
      </c>
      <c r="J9" s="254">
        <v>435</v>
      </c>
      <c r="K9" s="255"/>
      <c r="L9" s="255" t="s">
        <v>59</v>
      </c>
      <c r="M9" s="256">
        <f>'FUSION Assessment'!$F$6</f>
        <v>10870721.949999999</v>
      </c>
      <c r="N9" s="247" t="str">
        <f>IFERROR(VLOOKUP($AK$3,'Summary Data'!#REF!,4,0),"")</f>
        <v/>
      </c>
      <c r="O9" s="241" t="e">
        <f t="shared" ref="O9:O14" si="20">N9*35%</f>
        <v>#VALUE!</v>
      </c>
      <c r="P9" s="257">
        <v>35</v>
      </c>
      <c r="Q9" s="182">
        <f t="shared" si="0"/>
        <v>36178.521943076288</v>
      </c>
      <c r="R9" s="182">
        <f t="shared" si="1"/>
        <v>1039.2475013774103</v>
      </c>
      <c r="S9" s="182">
        <f t="shared" si="7"/>
        <v>37217.769444453697</v>
      </c>
      <c r="T9" s="182">
        <f t="shared" si="2"/>
        <v>25145.658483498959</v>
      </c>
      <c r="U9" s="183">
        <f t="shared" si="3"/>
        <v>0</v>
      </c>
      <c r="V9" s="182">
        <f t="shared" si="4"/>
        <v>99337.756849788493</v>
      </c>
      <c r="W9" s="182">
        <f t="shared" si="8"/>
        <v>161701.18477774115</v>
      </c>
      <c r="X9" s="184" t="e">
        <f t="shared" si="5"/>
        <v>#VALUE!</v>
      </c>
      <c r="Y9" s="185" t="e">
        <f t="shared" ref="Y9:Y14" si="21">X9*35%</f>
        <v>#VALUE!</v>
      </c>
      <c r="Z9" s="184">
        <f t="shared" si="10"/>
        <v>451737.73839883757</v>
      </c>
      <c r="AA9" s="184">
        <f t="shared" ref="AA9:AA46" si="22">R9*((1+4%)/1)^(1*1)+R9*((1+4%)/1)^(2*1)+R9*((1+4%)/1)^(3*1)+R9*((1+4%)/1)^(4*1)+R9*((1+4%)/1)^(5*1)+R9*((1+4%)/1)^(6*1)+R9*((1+4%)/1)^(7*1)+R9*((1+4%)/1)^(8*1)+R9*((1+4%)/1)^(9*1)+R9*((1+4%)/1)^(10*1)</f>
        <v>12976.409501956423</v>
      </c>
      <c r="AB9" s="184">
        <f t="shared" si="11"/>
        <v>296914.79788416089</v>
      </c>
      <c r="AC9" s="184">
        <f t="shared" si="12"/>
        <v>0</v>
      </c>
      <c r="AD9" s="184">
        <f t="shared" si="13"/>
        <v>1172959.9372661463</v>
      </c>
      <c r="AE9" s="184">
        <f t="shared" si="6"/>
        <v>1093948.9715308249</v>
      </c>
      <c r="AF9" s="184">
        <f t="shared" si="14"/>
        <v>32184.665505987523</v>
      </c>
      <c r="AG9" s="184">
        <f t="shared" si="15"/>
        <v>778740.96992926695</v>
      </c>
      <c r="AH9" s="184">
        <f t="shared" si="16"/>
        <v>0</v>
      </c>
      <c r="AI9" s="184">
        <f t="shared" si="17"/>
        <v>3076411.0301810526</v>
      </c>
      <c r="AJ9" s="184">
        <f>IF('Expenses by Building'!$O$4=B9,'Expenses by Building'!$O$30,0)</f>
        <v>0</v>
      </c>
      <c r="AK9" s="182">
        <f t="shared" si="18"/>
        <v>1934588.8830511011</v>
      </c>
      <c r="AL9" s="182">
        <f t="shared" si="19"/>
        <v>4981285.6371471323</v>
      </c>
    </row>
    <row r="10" spans="2:38" ht="15.75">
      <c r="B10" s="249" t="s">
        <v>65</v>
      </c>
      <c r="C10" s="250" t="s">
        <v>66</v>
      </c>
      <c r="D10" s="249">
        <v>1973</v>
      </c>
      <c r="E10" s="249"/>
      <c r="F10" s="251">
        <v>53682</v>
      </c>
      <c r="G10" s="252">
        <v>37292</v>
      </c>
      <c r="H10" s="253">
        <v>0.69469999999999998</v>
      </c>
      <c r="I10" s="254">
        <v>98</v>
      </c>
      <c r="J10" s="258">
        <v>1605</v>
      </c>
      <c r="K10" s="255"/>
      <c r="L10" s="255" t="s">
        <v>59</v>
      </c>
      <c r="M10" s="256">
        <f>'FUSION Assessment'!$F$7</f>
        <v>25893512.699999999</v>
      </c>
      <c r="N10" s="247" t="str">
        <f>IFERROR(VLOOKUP($AK$3,'Summary Data'!#REF!,5,0),"")</f>
        <v/>
      </c>
      <c r="O10" s="241" t="e">
        <f t="shared" si="20"/>
        <v>#VALUE!</v>
      </c>
      <c r="P10" s="257">
        <v>35</v>
      </c>
      <c r="Q10" s="182">
        <f t="shared" si="0"/>
        <v>86175.418864454958</v>
      </c>
      <c r="R10" s="182">
        <f t="shared" si="1"/>
        <v>2475.4352561983469</v>
      </c>
      <c r="S10" s="182">
        <f t="shared" si="7"/>
        <v>88650.854120653297</v>
      </c>
      <c r="T10" s="182">
        <f t="shared" si="2"/>
        <v>59895.693247157607</v>
      </c>
      <c r="U10" s="183">
        <f t="shared" si="3"/>
        <v>0</v>
      </c>
      <c r="V10" s="182">
        <f t="shared" si="4"/>
        <v>236617.53841284759</v>
      </c>
      <c r="W10" s="182">
        <f t="shared" si="8"/>
        <v>385164.08578065853</v>
      </c>
      <c r="X10" s="302" t="e">
        <f t="shared" si="5"/>
        <v>#VALUE!</v>
      </c>
      <c r="Y10" s="303" t="e">
        <f t="shared" si="21"/>
        <v>#VALUE!</v>
      </c>
      <c r="Z10" s="302">
        <f t="shared" si="10"/>
        <v>1076016.5626625726</v>
      </c>
      <c r="AA10" s="302">
        <f t="shared" si="22"/>
        <v>30909.154496340456</v>
      </c>
      <c r="AB10" s="302">
        <f t="shared" si="11"/>
        <v>707236.10862215585</v>
      </c>
      <c r="AC10" s="302">
        <f t="shared" si="12"/>
        <v>0</v>
      </c>
      <c r="AD10" s="302">
        <f t="shared" si="13"/>
        <v>2793931.5504424395</v>
      </c>
      <c r="AE10" s="302">
        <f t="shared" si="6"/>
        <v>2605731.4056758992</v>
      </c>
      <c r="AF10" s="302">
        <f t="shared" si="14"/>
        <v>76662.25379120656</v>
      </c>
      <c r="AG10" s="302">
        <f t="shared" si="15"/>
        <v>1854921.806262719</v>
      </c>
      <c r="AH10" s="302">
        <f t="shared" si="16"/>
        <v>0</v>
      </c>
      <c r="AI10" s="302">
        <f t="shared" si="17"/>
        <v>7327856.2773296908</v>
      </c>
      <c r="AJ10" s="184">
        <f>IF('Expenses by Building'!$O$4=B10,'Expenses by Building'!$O$30,0)</f>
        <v>0</v>
      </c>
      <c r="AK10" s="182">
        <f t="shared" si="18"/>
        <v>4608093.3762235083</v>
      </c>
      <c r="AL10" s="182">
        <f t="shared" si="19"/>
        <v>11865171.743059516</v>
      </c>
    </row>
    <row r="11" spans="2:38" ht="15.75">
      <c r="B11" s="249" t="s">
        <v>31</v>
      </c>
      <c r="C11" s="250" t="s">
        <v>67</v>
      </c>
      <c r="D11" s="249">
        <v>1947</v>
      </c>
      <c r="E11" s="249"/>
      <c r="F11" s="251">
        <v>5280</v>
      </c>
      <c r="G11" s="252">
        <v>4453</v>
      </c>
      <c r="H11" s="253">
        <v>0.84340000000000004</v>
      </c>
      <c r="I11" s="254">
        <v>13</v>
      </c>
      <c r="J11" s="254">
        <v>70</v>
      </c>
      <c r="K11" s="255"/>
      <c r="L11" s="255" t="s">
        <v>59</v>
      </c>
      <c r="M11" s="256">
        <v>3128769</v>
      </c>
      <c r="N11" s="247" t="str">
        <f>IFERROR(VLOOKUP($AK$3,'Summary Data'!#REF!,6,0),"")</f>
        <v/>
      </c>
      <c r="O11" s="241" t="e">
        <f t="shared" si="20"/>
        <v>#VALUE!</v>
      </c>
      <c r="P11" s="257">
        <v>35</v>
      </c>
      <c r="Q11" s="182">
        <f t="shared" si="0"/>
        <v>8475.9549123416073</v>
      </c>
      <c r="R11" s="182">
        <f t="shared" si="1"/>
        <v>243.47636363636363</v>
      </c>
      <c r="S11" s="182">
        <f t="shared" si="7"/>
        <v>8719.4312759779714</v>
      </c>
      <c r="T11" s="182">
        <f t="shared" si="2"/>
        <v>5891.1601718451657</v>
      </c>
      <c r="U11" s="183">
        <f t="shared" si="3"/>
        <v>0</v>
      </c>
      <c r="V11" s="182">
        <f t="shared" si="4"/>
        <v>23272.989136392745</v>
      </c>
      <c r="W11" s="182">
        <f t="shared" si="8"/>
        <v>37883.580584215881</v>
      </c>
      <c r="X11" s="184" t="e">
        <f t="shared" si="5"/>
        <v>#VALUE!</v>
      </c>
      <c r="Y11" s="185" t="e">
        <f t="shared" si="21"/>
        <v>#VALUE!</v>
      </c>
      <c r="Z11" s="184">
        <f t="shared" si="10"/>
        <v>105833.75155281812</v>
      </c>
      <c r="AA11" s="184">
        <f t="shared" si="22"/>
        <v>3040.1314358756686</v>
      </c>
      <c r="AB11" s="184">
        <f t="shared" si="11"/>
        <v>69561.61569101343</v>
      </c>
      <c r="AC11" s="184">
        <f t="shared" si="12"/>
        <v>0</v>
      </c>
      <c r="AD11" s="184">
        <f t="shared" si="13"/>
        <v>274802.70083707909</v>
      </c>
      <c r="AE11" s="184">
        <f t="shared" si="6"/>
        <v>256291.9008600415</v>
      </c>
      <c r="AF11" s="184">
        <f t="shared" si="14"/>
        <v>7540.2686192312267</v>
      </c>
      <c r="AG11" s="184">
        <f t="shared" si="15"/>
        <v>182444.52772003942</v>
      </c>
      <c r="AH11" s="184">
        <f t="shared" si="16"/>
        <v>0</v>
      </c>
      <c r="AI11" s="184">
        <f t="shared" si="17"/>
        <v>720745.89516599197</v>
      </c>
      <c r="AJ11" s="184">
        <f>IF('Expenses by Building'!$O$4=B11,'Expenses by Building'!$O$30,0)</f>
        <v>0</v>
      </c>
      <c r="AK11" s="182">
        <f t="shared" si="18"/>
        <v>453238.19951678632</v>
      </c>
      <c r="AL11" s="182">
        <f t="shared" si="19"/>
        <v>1167022.592365304</v>
      </c>
    </row>
    <row r="12" spans="2:38" ht="15.75">
      <c r="B12" s="249" t="s">
        <v>68</v>
      </c>
      <c r="C12" s="250" t="s">
        <v>69</v>
      </c>
      <c r="D12" s="249">
        <v>1947</v>
      </c>
      <c r="E12" s="249">
        <v>2007</v>
      </c>
      <c r="F12" s="251">
        <v>24172</v>
      </c>
      <c r="G12" s="252">
        <v>17798</v>
      </c>
      <c r="H12" s="253">
        <v>0.73629999999999995</v>
      </c>
      <c r="I12" s="254">
        <v>37</v>
      </c>
      <c r="J12" s="254">
        <v>139</v>
      </c>
      <c r="K12" s="255"/>
      <c r="L12" s="255" t="s">
        <v>59</v>
      </c>
      <c r="M12" s="256">
        <f>'FUSION Assessment'!$F$9</f>
        <v>14323602.039999999</v>
      </c>
      <c r="N12" s="247" t="str">
        <f>IFERROR(VLOOKUP($AK$3,'Summary Data'!#REF!,7,0),"")</f>
        <v/>
      </c>
      <c r="O12" s="241" t="e">
        <f t="shared" si="20"/>
        <v>#VALUE!</v>
      </c>
      <c r="P12" s="257">
        <v>35</v>
      </c>
      <c r="Q12" s="182">
        <f t="shared" si="0"/>
        <v>38803.17843581843</v>
      </c>
      <c r="R12" s="182">
        <f t="shared" si="1"/>
        <v>1114.642170798898</v>
      </c>
      <c r="S12" s="182">
        <f t="shared" si="7"/>
        <v>39917.82060661733</v>
      </c>
      <c r="T12" s="182">
        <f t="shared" si="2"/>
        <v>26969.909786712375</v>
      </c>
      <c r="U12" s="183">
        <f t="shared" si="3"/>
        <v>0</v>
      </c>
      <c r="V12" s="182">
        <f t="shared" si="4"/>
        <v>106544.44950850103</v>
      </c>
      <c r="W12" s="182">
        <f t="shared" si="8"/>
        <v>173432.17990183074</v>
      </c>
      <c r="X12" s="184" t="e">
        <f t="shared" si="5"/>
        <v>#VALUE!</v>
      </c>
      <c r="Y12" s="185" t="e">
        <f t="shared" si="21"/>
        <v>#VALUE!</v>
      </c>
      <c r="Z12" s="184">
        <f t="shared" si="10"/>
        <v>484510.1216921818</v>
      </c>
      <c r="AA12" s="184">
        <f t="shared" si="22"/>
        <v>13917.813838633834</v>
      </c>
      <c r="AB12" s="184">
        <f t="shared" si="11"/>
        <v>318455.18456120772</v>
      </c>
      <c r="AC12" s="184">
        <f t="shared" si="12"/>
        <v>0</v>
      </c>
      <c r="AD12" s="184">
        <f t="shared" si="13"/>
        <v>1258055.0917867192</v>
      </c>
      <c r="AE12" s="184">
        <f t="shared" si="6"/>
        <v>1173312.0885585081</v>
      </c>
      <c r="AF12" s="184">
        <f t="shared" si="14"/>
        <v>34519.578231829015</v>
      </c>
      <c r="AG12" s="184">
        <f t="shared" si="15"/>
        <v>835236.57652439247</v>
      </c>
      <c r="AH12" s="184">
        <f t="shared" si="16"/>
        <v>0</v>
      </c>
      <c r="AI12" s="184">
        <f t="shared" si="17"/>
        <v>3299596.5488546132</v>
      </c>
      <c r="AJ12" s="184">
        <f>IF('Expenses by Building'!$O$4=B12,'Expenses by Building'!$O$30,0)</f>
        <v>0</v>
      </c>
      <c r="AK12" s="182">
        <f t="shared" si="18"/>
        <v>2074938.2118787426</v>
      </c>
      <c r="AL12" s="182">
        <f t="shared" si="19"/>
        <v>5342664.7921693427</v>
      </c>
    </row>
    <row r="13" spans="2:38" ht="15.75">
      <c r="B13" s="249" t="s">
        <v>70</v>
      </c>
      <c r="C13" s="250" t="s">
        <v>71</v>
      </c>
      <c r="D13" s="249">
        <v>1954</v>
      </c>
      <c r="E13" s="249"/>
      <c r="F13" s="251">
        <v>34612</v>
      </c>
      <c r="G13" s="252">
        <v>30491</v>
      </c>
      <c r="H13" s="253">
        <v>0.88090000000000002</v>
      </c>
      <c r="I13" s="254">
        <v>30</v>
      </c>
      <c r="J13" s="258">
        <v>2283</v>
      </c>
      <c r="K13" s="255" t="s">
        <v>72</v>
      </c>
      <c r="L13" s="255" t="s">
        <v>59</v>
      </c>
      <c r="M13" s="256">
        <f>'FUSION Assessment'!$F$10</f>
        <v>21589581.120000001</v>
      </c>
      <c r="N13" s="247" t="str">
        <f>IFERROR(VLOOKUP($AK$3,'Summary Data'!#REF!,8,0),"")</f>
        <v/>
      </c>
      <c r="O13" s="241" t="e">
        <f t="shared" si="20"/>
        <v>#VALUE!</v>
      </c>
      <c r="P13" s="257">
        <v>35</v>
      </c>
      <c r="Q13" s="182">
        <f t="shared" si="0"/>
        <v>55562.452921584794</v>
      </c>
      <c r="R13" s="182">
        <f t="shared" si="1"/>
        <v>1596.061344352617</v>
      </c>
      <c r="S13" s="182">
        <f t="shared" si="7"/>
        <v>57158.514265937411</v>
      </c>
      <c r="T13" s="182">
        <f t="shared" si="2"/>
        <v>38618.340126497133</v>
      </c>
      <c r="U13" s="183">
        <f t="shared" si="3"/>
        <v>0</v>
      </c>
      <c r="V13" s="182">
        <f t="shared" si="4"/>
        <v>152561.49621000487</v>
      </c>
      <c r="W13" s="182">
        <f t="shared" si="8"/>
        <v>248338.35060243943</v>
      </c>
      <c r="X13" s="184" t="e">
        <f t="shared" si="5"/>
        <v>#VALUE!</v>
      </c>
      <c r="Y13" s="185" t="e">
        <f t="shared" si="21"/>
        <v>#VALUE!</v>
      </c>
      <c r="Z13" s="184">
        <f t="shared" si="10"/>
        <v>693772.31226252683</v>
      </c>
      <c r="AA13" s="184">
        <f t="shared" si="22"/>
        <v>19928.982814115272</v>
      </c>
      <c r="AB13" s="184">
        <f t="shared" si="11"/>
        <v>455997.47013207513</v>
      </c>
      <c r="AC13" s="184">
        <f t="shared" si="12"/>
        <v>0</v>
      </c>
      <c r="AD13" s="184">
        <f t="shared" si="13"/>
        <v>1801414.9775327619</v>
      </c>
      <c r="AE13" s="184">
        <f t="shared" si="6"/>
        <v>1680071.074349954</v>
      </c>
      <c r="AF13" s="184">
        <f t="shared" si="14"/>
        <v>49428.745728945309</v>
      </c>
      <c r="AG13" s="184">
        <f t="shared" si="15"/>
        <v>1195979.1654253795</v>
      </c>
      <c r="AH13" s="184">
        <f t="shared" si="16"/>
        <v>0</v>
      </c>
      <c r="AI13" s="184">
        <f t="shared" si="17"/>
        <v>4724707.7506600963</v>
      </c>
      <c r="AJ13" s="184">
        <f>IF('Expenses by Building'!$O$4=B13,'Expenses by Building'!$O$30,0)</f>
        <v>0</v>
      </c>
      <c r="AK13" s="182">
        <f t="shared" si="18"/>
        <v>2971113.7427414791</v>
      </c>
      <c r="AL13" s="182">
        <f t="shared" si="19"/>
        <v>7650186.7361643752</v>
      </c>
    </row>
    <row r="14" spans="2:38" ht="15.75">
      <c r="B14" s="249" t="s">
        <v>73</v>
      </c>
      <c r="C14" s="250" t="s">
        <v>74</v>
      </c>
      <c r="D14" s="249">
        <v>1954</v>
      </c>
      <c r="E14" s="249"/>
      <c r="F14" s="251">
        <v>15720</v>
      </c>
      <c r="G14" s="252">
        <v>11557</v>
      </c>
      <c r="H14" s="253">
        <v>0.73519999999999996</v>
      </c>
      <c r="I14" s="254">
        <v>34</v>
      </c>
      <c r="J14" s="254">
        <v>380</v>
      </c>
      <c r="K14" s="255" t="s">
        <v>75</v>
      </c>
      <c r="L14" s="255" t="s">
        <v>59</v>
      </c>
      <c r="M14" s="256">
        <f>'FUSION Assessment'!F11</f>
        <v>7582542</v>
      </c>
      <c r="N14" s="247" t="str">
        <f>IFERROR(VLOOKUP($AK$3,'Summary Data'!#REF!,9,0),"")</f>
        <v/>
      </c>
      <c r="O14" s="241" t="e">
        <f t="shared" si="20"/>
        <v>#VALUE!</v>
      </c>
      <c r="P14" s="257">
        <v>35</v>
      </c>
      <c r="Q14" s="182">
        <f t="shared" si="0"/>
        <v>25235.229398107967</v>
      </c>
      <c r="R14" s="182">
        <f t="shared" si="1"/>
        <v>724.89553719008256</v>
      </c>
      <c r="S14" s="182">
        <f t="shared" si="7"/>
        <v>25960.124935298049</v>
      </c>
      <c r="T14" s="182">
        <f t="shared" si="2"/>
        <v>17539.590511629925</v>
      </c>
      <c r="U14" s="183">
        <f t="shared" si="3"/>
        <v>0</v>
      </c>
      <c r="V14" s="182">
        <f t="shared" si="4"/>
        <v>69290.035837896576</v>
      </c>
      <c r="W14" s="182">
        <f t="shared" si="8"/>
        <v>112789.75128482455</v>
      </c>
      <c r="X14" s="184" t="e">
        <f t="shared" si="5"/>
        <v>#VALUE!</v>
      </c>
      <c r="Y14" s="185" t="e">
        <f t="shared" si="21"/>
        <v>#VALUE!</v>
      </c>
      <c r="Z14" s="184">
        <f t="shared" si="10"/>
        <v>315095.94212316314</v>
      </c>
      <c r="AA14" s="184">
        <f t="shared" si="22"/>
        <v>9051.3004113571023</v>
      </c>
      <c r="AB14" s="184">
        <f t="shared" si="11"/>
        <v>207103.90126188088</v>
      </c>
      <c r="AC14" s="184">
        <f t="shared" si="12"/>
        <v>0</v>
      </c>
      <c r="AD14" s="184">
        <f t="shared" si="13"/>
        <v>818162.5865831218</v>
      </c>
      <c r="AE14" s="184">
        <f t="shared" si="6"/>
        <v>763050.88665148709</v>
      </c>
      <c r="AF14" s="184">
        <f t="shared" si="14"/>
        <v>22449.436116347515</v>
      </c>
      <c r="AG14" s="184">
        <f t="shared" si="15"/>
        <v>543187.11662102654</v>
      </c>
      <c r="AH14" s="184">
        <f t="shared" si="16"/>
        <v>0</v>
      </c>
      <c r="AI14" s="184">
        <f t="shared" si="17"/>
        <v>2145857.0969714755</v>
      </c>
      <c r="AJ14" s="184">
        <f>IF('Expenses by Building'!$O$4=B14,'Expenses by Building'!$O$30,0)</f>
        <v>0</v>
      </c>
      <c r="AK14" s="182">
        <f t="shared" si="18"/>
        <v>1349413.7303795228</v>
      </c>
      <c r="AL14" s="182">
        <f t="shared" si="19"/>
        <v>3474544.5363603365</v>
      </c>
    </row>
    <row r="15" spans="2:38">
      <c r="B15" s="249" t="s">
        <v>76</v>
      </c>
      <c r="C15" s="250" t="s">
        <v>77</v>
      </c>
      <c r="D15" s="249">
        <v>2009</v>
      </c>
      <c r="E15" s="249"/>
      <c r="F15" s="251">
        <v>17550</v>
      </c>
      <c r="G15" s="252">
        <v>14783</v>
      </c>
      <c r="H15" s="253">
        <v>0.84230000000000005</v>
      </c>
      <c r="I15" s="254">
        <v>18</v>
      </c>
      <c r="J15" s="254">
        <v>653</v>
      </c>
      <c r="K15" s="255"/>
      <c r="L15" s="255" t="s">
        <v>59</v>
      </c>
      <c r="M15" s="256">
        <f>'FUSION Assessment'!F12</f>
        <v>8162856</v>
      </c>
      <c r="N15" s="247" t="str">
        <f>IFERROR(VLOOKUP($AK$3,'Summary Data'!#REF!,10,0),"")</f>
        <v/>
      </c>
      <c r="O15" s="241" t="e">
        <f>N15*80%</f>
        <v>#VALUE!</v>
      </c>
      <c r="P15" s="249">
        <v>80</v>
      </c>
      <c r="Q15" s="182">
        <f t="shared" si="0"/>
        <v>28172.918316589999</v>
      </c>
      <c r="R15" s="182">
        <f t="shared" si="1"/>
        <v>809.28223140495868</v>
      </c>
      <c r="S15" s="182">
        <f t="shared" si="7"/>
        <v>28982.200547994958</v>
      </c>
      <c r="T15" s="182">
        <f t="shared" si="2"/>
        <v>19581.413071189898</v>
      </c>
      <c r="U15" s="183">
        <f t="shared" si="3"/>
        <v>0</v>
      </c>
      <c r="V15" s="182">
        <f t="shared" si="4"/>
        <v>77356.24229994179</v>
      </c>
      <c r="W15" s="182">
        <f t="shared" si="8"/>
        <v>125919.85591912665</v>
      </c>
      <c r="X15" s="184" t="e">
        <f t="shared" si="5"/>
        <v>#VALUE!</v>
      </c>
      <c r="Y15" s="185" t="e">
        <f t="shared" si="9"/>
        <v>#VALUE!</v>
      </c>
      <c r="Z15" s="184">
        <f t="shared" si="10"/>
        <v>351776.95828635572</v>
      </c>
      <c r="AA15" s="184">
        <f t="shared" si="22"/>
        <v>10104.982329473101</v>
      </c>
      <c r="AB15" s="184">
        <f t="shared" si="11"/>
        <v>231213.32488206169</v>
      </c>
      <c r="AC15" s="184">
        <f t="shared" si="12"/>
        <v>0</v>
      </c>
      <c r="AD15" s="184">
        <f t="shared" si="13"/>
        <v>913406.70448688208</v>
      </c>
      <c r="AE15" s="184">
        <f t="shared" si="6"/>
        <v>851879.32956320595</v>
      </c>
      <c r="AF15" s="184">
        <f t="shared" si="14"/>
        <v>25062.824671876526</v>
      </c>
      <c r="AG15" s="184">
        <f t="shared" si="15"/>
        <v>606420.73134217656</v>
      </c>
      <c r="AH15" s="184">
        <f t="shared" si="16"/>
        <v>0</v>
      </c>
      <c r="AI15" s="184">
        <f t="shared" si="17"/>
        <v>2395661.0720005981</v>
      </c>
      <c r="AJ15" s="184">
        <f>IF('Expenses by Building'!$O$4=B15,'Expenses by Building'!$O$30,0)</f>
        <v>0</v>
      </c>
      <c r="AK15" s="182">
        <f t="shared" si="18"/>
        <v>1506501.9699847726</v>
      </c>
      <c r="AL15" s="182">
        <f t="shared" si="19"/>
        <v>3879023.9575778572</v>
      </c>
    </row>
    <row r="16" spans="2:38" ht="15.75">
      <c r="B16" s="249" t="s">
        <v>78</v>
      </c>
      <c r="C16" s="250" t="s">
        <v>79</v>
      </c>
      <c r="D16" s="249">
        <v>1958</v>
      </c>
      <c r="E16" s="249">
        <v>1972</v>
      </c>
      <c r="F16" s="251">
        <v>20612</v>
      </c>
      <c r="G16" s="252">
        <v>18147</v>
      </c>
      <c r="H16" s="253">
        <v>0.88039999999999996</v>
      </c>
      <c r="I16" s="254">
        <v>22</v>
      </c>
      <c r="J16" s="254">
        <v>185</v>
      </c>
      <c r="K16" s="255"/>
      <c r="L16" s="255" t="s">
        <v>59</v>
      </c>
      <c r="M16" s="256">
        <f>'FUSION Assessment'!F13</f>
        <v>9290240.6400000006</v>
      </c>
      <c r="N16" s="247" t="str">
        <f>IFERROR(VLOOKUP($AK$3,'Summary Data'!#REF!,11,0),"")</f>
        <v/>
      </c>
      <c r="O16" s="241" t="e">
        <f>N16*35%</f>
        <v>#VALUE!</v>
      </c>
      <c r="P16" s="257">
        <v>35</v>
      </c>
      <c r="Q16" s="182">
        <f t="shared" si="0"/>
        <v>33088.330047951742</v>
      </c>
      <c r="R16" s="182">
        <f t="shared" si="1"/>
        <v>950.48007713498623</v>
      </c>
      <c r="S16" s="182">
        <f t="shared" si="7"/>
        <v>34038.810125086726</v>
      </c>
      <c r="T16" s="182">
        <f t="shared" si="2"/>
        <v>22997.839670847075</v>
      </c>
      <c r="U16" s="183">
        <f t="shared" si="3"/>
        <v>0</v>
      </c>
      <c r="V16" s="182">
        <f t="shared" si="4"/>
        <v>90852.812893811977</v>
      </c>
      <c r="W16" s="182">
        <f t="shared" si="8"/>
        <v>147889.46268974576</v>
      </c>
      <c r="X16" s="184" t="e">
        <f t="shared" si="5"/>
        <v>#VALUE!</v>
      </c>
      <c r="Y16" s="185" t="e">
        <f t="shared" si="9"/>
        <v>#VALUE!</v>
      </c>
      <c r="Z16" s="184">
        <f t="shared" si="10"/>
        <v>413152.51647853927</v>
      </c>
      <c r="AA16" s="184">
        <f t="shared" si="22"/>
        <v>11868.02824929342</v>
      </c>
      <c r="AB16" s="184">
        <f t="shared" si="11"/>
        <v>271553.79216347897</v>
      </c>
      <c r="AC16" s="184">
        <f t="shared" si="12"/>
        <v>0</v>
      </c>
      <c r="AD16" s="184">
        <f t="shared" si="13"/>
        <v>1072771.452585961</v>
      </c>
      <c r="AE16" s="184">
        <f t="shared" si="6"/>
        <v>1000509.2160089347</v>
      </c>
      <c r="AF16" s="184">
        <f t="shared" si="14"/>
        <v>29435.609238559475</v>
      </c>
      <c r="AG16" s="184">
        <f t="shared" si="15"/>
        <v>712224.73586466897</v>
      </c>
      <c r="AH16" s="184">
        <f t="shared" si="16"/>
        <v>0</v>
      </c>
      <c r="AI16" s="184">
        <f t="shared" si="17"/>
        <v>2813639.0892351181</v>
      </c>
      <c r="AJ16" s="184">
        <f>IF('Expenses by Building'!$O$4=B16,'Expenses by Building'!$O$30,0)</f>
        <v>0</v>
      </c>
      <c r="AK16" s="182">
        <f t="shared" si="18"/>
        <v>1769345.7894772727</v>
      </c>
      <c r="AL16" s="182">
        <f t="shared" si="19"/>
        <v>4555808.6503472812</v>
      </c>
    </row>
    <row r="17" spans="2:38" ht="15.75">
      <c r="B17" s="257" t="s">
        <v>80</v>
      </c>
      <c r="C17" s="250" t="s">
        <v>81</v>
      </c>
      <c r="D17" s="249">
        <v>2021</v>
      </c>
      <c r="E17" s="249"/>
      <c r="F17" s="251">
        <v>65748</v>
      </c>
      <c r="G17" s="259">
        <v>39872</v>
      </c>
      <c r="H17" s="253">
        <v>0.60640000000000005</v>
      </c>
      <c r="I17" s="249">
        <v>108</v>
      </c>
      <c r="J17" s="249">
        <v>794</v>
      </c>
      <c r="K17" s="250"/>
      <c r="L17" s="250" t="s">
        <v>59</v>
      </c>
      <c r="M17" s="260">
        <f>'FUSION Assessment'!$F$14</f>
        <v>45811373</v>
      </c>
      <c r="N17" s="247" t="str">
        <f>IFERROR(VLOOKUP($AK$3,'Summary Data'!#REF!,12,0),"")</f>
        <v/>
      </c>
      <c r="O17" s="241" t="e">
        <f>N17*80%</f>
        <v>#VALUE!</v>
      </c>
      <c r="P17" s="249">
        <v>80</v>
      </c>
      <c r="Q17" s="182">
        <f t="shared" si="0"/>
        <v>105544.90219254469</v>
      </c>
      <c r="R17" s="182">
        <f t="shared" si="1"/>
        <v>3031.8340826446279</v>
      </c>
      <c r="S17" s="182">
        <f t="shared" si="7"/>
        <v>108576.73627518931</v>
      </c>
      <c r="T17" s="182">
        <f t="shared" si="2"/>
        <v>73358.333139862865</v>
      </c>
      <c r="U17" s="183">
        <f t="shared" si="3"/>
        <v>0</v>
      </c>
      <c r="V17" s="182">
        <f t="shared" si="4"/>
        <v>289801.60790521785</v>
      </c>
      <c r="W17" s="182">
        <f t="shared" si="8"/>
        <v>471736.67732027004</v>
      </c>
      <c r="X17" s="184" t="e">
        <f t="shared" si="5"/>
        <v>#VALUE!</v>
      </c>
      <c r="Y17" s="185" t="e">
        <f t="shared" si="9"/>
        <v>#VALUE!</v>
      </c>
      <c r="Z17" s="184">
        <f t="shared" si="10"/>
        <v>1317870.7380861146</v>
      </c>
      <c r="AA17" s="184">
        <f t="shared" si="22"/>
        <v>37856.545766279058</v>
      </c>
      <c r="AB17" s="184">
        <f t="shared" si="11"/>
        <v>866200.20993423311</v>
      </c>
      <c r="AC17" s="184">
        <f t="shared" si="12"/>
        <v>0</v>
      </c>
      <c r="AD17" s="184">
        <f t="shared" si="13"/>
        <v>3421918.1770144468</v>
      </c>
      <c r="AE17" s="184">
        <f t="shared" si="6"/>
        <v>3191416.6473003798</v>
      </c>
      <c r="AF17" s="184">
        <f t="shared" si="14"/>
        <v>93893.481283563393</v>
      </c>
      <c r="AG17" s="184">
        <f t="shared" si="15"/>
        <v>2271849.0167684001</v>
      </c>
      <c r="AH17" s="184">
        <f t="shared" si="16"/>
        <v>0</v>
      </c>
      <c r="AI17" s="184">
        <f t="shared" si="17"/>
        <v>8974924.4536692481</v>
      </c>
      <c r="AJ17" s="184">
        <f>IF('Expenses by Building'!$O$4=B17,'Expenses by Building'!$O$30,0)</f>
        <v>0</v>
      </c>
      <c r="AK17" s="182">
        <f t="shared" si="18"/>
        <v>5643845.6708010733</v>
      </c>
      <c r="AL17" s="182">
        <f t="shared" si="19"/>
        <v>14532083.599021591</v>
      </c>
    </row>
    <row r="18" spans="2:38" ht="15.75">
      <c r="B18" s="249" t="s">
        <v>82</v>
      </c>
      <c r="C18" s="250" t="s">
        <v>83</v>
      </c>
      <c r="D18" s="249">
        <v>1958</v>
      </c>
      <c r="E18" s="249"/>
      <c r="F18" s="251">
        <v>11631</v>
      </c>
      <c r="G18" s="259">
        <v>10135</v>
      </c>
      <c r="H18" s="253">
        <v>0.87139999999999995</v>
      </c>
      <c r="I18" s="254">
        <v>19</v>
      </c>
      <c r="J18" s="254">
        <v>102</v>
      </c>
      <c r="K18" s="255"/>
      <c r="L18" s="255" t="s">
        <v>59</v>
      </c>
      <c r="M18" s="256">
        <f>'FUSION Assessment'!F15</f>
        <v>4417506.72</v>
      </c>
      <c r="N18" s="247" t="str">
        <f>IFERROR(VLOOKUP($AK$3,'Summary Data'!#REF!,13,0),"")</f>
        <v/>
      </c>
      <c r="O18" s="241" t="e">
        <f>N18*35%</f>
        <v>#VALUE!</v>
      </c>
      <c r="P18" s="257">
        <v>35</v>
      </c>
      <c r="Q18" s="182">
        <f t="shared" si="0"/>
        <v>18671.180224516142</v>
      </c>
      <c r="R18" s="182">
        <f t="shared" si="1"/>
        <v>536.33969421487598</v>
      </c>
      <c r="S18" s="182">
        <f t="shared" si="7"/>
        <v>19207.519918731017</v>
      </c>
      <c r="T18" s="182">
        <f t="shared" si="2"/>
        <v>12977.288628547562</v>
      </c>
      <c r="U18" s="183">
        <f t="shared" si="3"/>
        <v>0</v>
      </c>
      <c r="V18" s="182">
        <f t="shared" si="4"/>
        <v>51266.692546474245</v>
      </c>
      <c r="W18" s="182">
        <f t="shared" si="8"/>
        <v>83451.501093752828</v>
      </c>
      <c r="X18" s="184" t="e">
        <f t="shared" si="5"/>
        <v>#VALUE!</v>
      </c>
      <c r="Y18" s="185" t="e">
        <f>X18*35%</f>
        <v>#VALUE!</v>
      </c>
      <c r="Z18" s="184">
        <f t="shared" si="10"/>
        <v>233134.91748311129</v>
      </c>
      <c r="AA18" s="184">
        <f t="shared" si="22"/>
        <v>6696.9258959602075</v>
      </c>
      <c r="AB18" s="184">
        <f t="shared" si="11"/>
        <v>153233.17274662445</v>
      </c>
      <c r="AC18" s="184">
        <f t="shared" si="12"/>
        <v>0</v>
      </c>
      <c r="AD18" s="184">
        <f t="shared" si="13"/>
        <v>605346.6313325885</v>
      </c>
      <c r="AE18" s="184">
        <f t="shared" si="6"/>
        <v>564570.28388317092</v>
      </c>
      <c r="AF18" s="184">
        <f t="shared" si="14"/>
        <v>16610.012179976969</v>
      </c>
      <c r="AG18" s="184">
        <f t="shared" si="15"/>
        <v>401896.26930147328</v>
      </c>
      <c r="AH18" s="184">
        <f t="shared" si="16"/>
        <v>0</v>
      </c>
      <c r="AI18" s="184">
        <f t="shared" si="17"/>
        <v>1587688.5429309946</v>
      </c>
      <c r="AJ18" s="184">
        <f>IF('Expenses by Building'!$O$4=B18,'Expenses by Building'!$O$30,0)</f>
        <v>0</v>
      </c>
      <c r="AK18" s="182">
        <f t="shared" si="18"/>
        <v>998411.64745828439</v>
      </c>
      <c r="AL18" s="182">
        <f t="shared" si="19"/>
        <v>2570765.1082956158</v>
      </c>
    </row>
    <row r="19" spans="2:38" ht="15.75">
      <c r="B19" s="249" t="s">
        <v>84</v>
      </c>
      <c r="C19" s="250" t="s">
        <v>85</v>
      </c>
      <c r="D19" s="249">
        <v>1956</v>
      </c>
      <c r="E19" s="249">
        <v>1994</v>
      </c>
      <c r="F19" s="251">
        <v>50473</v>
      </c>
      <c r="G19" s="259">
        <v>40684</v>
      </c>
      <c r="H19" s="253">
        <v>0.80610000000000004</v>
      </c>
      <c r="I19" s="254">
        <v>63</v>
      </c>
      <c r="J19" s="254">
        <v>991</v>
      </c>
      <c r="K19" s="255"/>
      <c r="L19" s="255" t="s">
        <v>59</v>
      </c>
      <c r="M19" s="256">
        <f>'FUSION Assessment'!F16</f>
        <v>27550687.050000001</v>
      </c>
      <c r="N19" s="247" t="str">
        <f>IFERROR(VLOOKUP($AK$3,'Summary Data'!#REF!,14,0),"")</f>
        <v/>
      </c>
      <c r="O19" s="241" t="e">
        <f>N19*35%</f>
        <v>#VALUE!</v>
      </c>
      <c r="P19" s="257">
        <v>35</v>
      </c>
      <c r="Q19" s="182">
        <f t="shared" si="0"/>
        <v>81024.028842920059</v>
      </c>
      <c r="R19" s="182">
        <f t="shared" si="1"/>
        <v>2327.4588071625344</v>
      </c>
      <c r="S19" s="182">
        <f t="shared" si="7"/>
        <v>83351.487650082592</v>
      </c>
      <c r="T19" s="182">
        <f t="shared" si="2"/>
        <v>56315.251392716105</v>
      </c>
      <c r="U19" s="183">
        <f t="shared" si="3"/>
        <v>0</v>
      </c>
      <c r="V19" s="182">
        <f t="shared" si="4"/>
        <v>222473.02664415739</v>
      </c>
      <c r="W19" s="182">
        <f t="shared" si="8"/>
        <v>362139.76568695612</v>
      </c>
      <c r="X19" s="184" t="e">
        <f t="shared" si="5"/>
        <v>#VALUE!</v>
      </c>
      <c r="Y19" s="185" t="e">
        <f>X19*35%</f>
        <v>#VALUE!</v>
      </c>
      <c r="Z19" s="184">
        <f t="shared" si="10"/>
        <v>1011694.4966146571</v>
      </c>
      <c r="AA19" s="184">
        <f t="shared" si="22"/>
        <v>29061.468553589508</v>
      </c>
      <c r="AB19" s="184">
        <f t="shared" si="11"/>
        <v>664958.98272206832</v>
      </c>
      <c r="AC19" s="184">
        <f t="shared" si="12"/>
        <v>0</v>
      </c>
      <c r="AD19" s="184">
        <f t="shared" si="13"/>
        <v>2626916.0453314194</v>
      </c>
      <c r="AE19" s="184">
        <f t="shared" si="6"/>
        <v>2449966.1197175896</v>
      </c>
      <c r="AF19" s="184">
        <f t="shared" si="14"/>
        <v>72079.541291374553</v>
      </c>
      <c r="AG19" s="184">
        <f t="shared" si="15"/>
        <v>1744038.3802298391</v>
      </c>
      <c r="AH19" s="184">
        <f t="shared" si="16"/>
        <v>0</v>
      </c>
      <c r="AI19" s="184">
        <f t="shared" si="17"/>
        <v>6889812.0391502092</v>
      </c>
      <c r="AJ19" s="184">
        <f>IF('Expenses by Building'!$O$4=B19,'Expenses by Building'!$O$30,0)</f>
        <v>0</v>
      </c>
      <c r="AK19" s="182">
        <f t="shared" si="18"/>
        <v>4332630.9932217347</v>
      </c>
      <c r="AL19" s="182">
        <f t="shared" si="19"/>
        <v>11155896.080389012</v>
      </c>
    </row>
    <row r="20" spans="2:38" ht="15.75">
      <c r="B20" s="249" t="s">
        <v>86</v>
      </c>
      <c r="C20" s="250" t="s">
        <v>87</v>
      </c>
      <c r="D20" s="249">
        <v>1967</v>
      </c>
      <c r="E20" s="249">
        <v>2015</v>
      </c>
      <c r="F20" s="251">
        <v>3600</v>
      </c>
      <c r="G20" s="259">
        <v>2670</v>
      </c>
      <c r="H20" s="253">
        <v>0.74170000000000003</v>
      </c>
      <c r="I20" s="254">
        <v>11</v>
      </c>
      <c r="J20" s="254">
        <v>139</v>
      </c>
      <c r="K20" s="255"/>
      <c r="L20" s="255" t="s">
        <v>59</v>
      </c>
      <c r="M20" s="256">
        <f>'FUSION Assessment'!F17</f>
        <v>2007504</v>
      </c>
      <c r="N20" s="247" t="str">
        <f>IFERROR(VLOOKUP($AK$3,'Summary Data'!#REF!,15,0),"")</f>
        <v/>
      </c>
      <c r="O20" s="241" t="e">
        <f>N20*35%</f>
        <v>#VALUE!</v>
      </c>
      <c r="P20" s="257">
        <v>35</v>
      </c>
      <c r="Q20" s="182">
        <f t="shared" si="0"/>
        <v>5779.0601675056414</v>
      </c>
      <c r="R20" s="182">
        <f t="shared" si="1"/>
        <v>166.00661157024794</v>
      </c>
      <c r="S20" s="182">
        <f t="shared" si="7"/>
        <v>5945.0667790758889</v>
      </c>
      <c r="T20" s="182">
        <f t="shared" si="2"/>
        <v>4016.7001171671586</v>
      </c>
      <c r="U20" s="183">
        <f t="shared" si="3"/>
        <v>0</v>
      </c>
      <c r="V20" s="182">
        <f t="shared" si="4"/>
        <v>15867.947138449599</v>
      </c>
      <c r="W20" s="182">
        <f t="shared" si="8"/>
        <v>25829.714034692646</v>
      </c>
      <c r="X20" s="184" t="e">
        <f t="shared" si="5"/>
        <v>#VALUE!</v>
      </c>
      <c r="Y20" s="185" t="e">
        <f>X20*35%</f>
        <v>#VALUE!</v>
      </c>
      <c r="Z20" s="184">
        <f t="shared" si="10"/>
        <v>72159.376058739639</v>
      </c>
      <c r="AA20" s="184">
        <f t="shared" si="22"/>
        <v>2072.8168880970466</v>
      </c>
      <c r="AB20" s="184">
        <f t="shared" si="11"/>
        <v>47428.374334781882</v>
      </c>
      <c r="AC20" s="184">
        <f t="shared" si="12"/>
        <v>0</v>
      </c>
      <c r="AD20" s="184">
        <f t="shared" si="13"/>
        <v>187365.47784346301</v>
      </c>
      <c r="AE20" s="184">
        <f t="shared" si="6"/>
        <v>174744.47785911922</v>
      </c>
      <c r="AF20" s="184">
        <f t="shared" si="14"/>
        <v>5141.092240384929</v>
      </c>
      <c r="AG20" s="184">
        <f t="shared" si="15"/>
        <v>124393.99617275417</v>
      </c>
      <c r="AH20" s="184">
        <f t="shared" si="16"/>
        <v>0</v>
      </c>
      <c r="AI20" s="184">
        <f t="shared" si="17"/>
        <v>491417.6557949945</v>
      </c>
      <c r="AJ20" s="184">
        <f>IF('Expenses by Building'!$O$4=B20,'Expenses by Building'!$O$30,0)</f>
        <v>0</v>
      </c>
      <c r="AK20" s="182">
        <f t="shared" si="18"/>
        <v>309026.04512508155</v>
      </c>
      <c r="AL20" s="182">
        <f t="shared" si="19"/>
        <v>795697.22206725273</v>
      </c>
    </row>
    <row r="21" spans="2:38" ht="15.75">
      <c r="B21" s="249" t="s">
        <v>88</v>
      </c>
      <c r="C21" s="250" t="s">
        <v>89</v>
      </c>
      <c r="D21" s="249">
        <v>1970</v>
      </c>
      <c r="E21" s="249"/>
      <c r="F21" s="251">
        <v>7875</v>
      </c>
      <c r="G21" s="259">
        <v>5217</v>
      </c>
      <c r="H21" s="253">
        <v>0.66249999999999998</v>
      </c>
      <c r="I21" s="254">
        <v>16</v>
      </c>
      <c r="J21" s="254">
        <v>139</v>
      </c>
      <c r="K21" s="255"/>
      <c r="L21" s="255" t="s">
        <v>59</v>
      </c>
      <c r="M21" s="256">
        <f>'FUSION Assessment'!F18</f>
        <v>4043812.5</v>
      </c>
      <c r="N21" s="247" t="str">
        <f>IFERROR(VLOOKUP($AK$3,'Summary Data'!#REF!,16,0),"")</f>
        <v/>
      </c>
      <c r="O21" s="241" t="e">
        <f>N21*35%</f>
        <v>#VALUE!</v>
      </c>
      <c r="P21" s="257">
        <v>35</v>
      </c>
      <c r="Q21" s="182">
        <f t="shared" si="0"/>
        <v>12641.69411641859</v>
      </c>
      <c r="R21" s="182">
        <f t="shared" si="1"/>
        <v>363.13946280991735</v>
      </c>
      <c r="S21" s="182">
        <f t="shared" si="7"/>
        <v>13004.833579228507</v>
      </c>
      <c r="T21" s="182">
        <f t="shared" si="2"/>
        <v>8786.5315063031594</v>
      </c>
      <c r="U21" s="183">
        <f t="shared" si="3"/>
        <v>0</v>
      </c>
      <c r="V21" s="182">
        <f t="shared" si="4"/>
        <v>34711.134365358499</v>
      </c>
      <c r="W21" s="182">
        <f t="shared" si="8"/>
        <v>56502.499450890165</v>
      </c>
      <c r="X21" s="184" t="e">
        <f t="shared" si="5"/>
        <v>#VALUE!</v>
      </c>
      <c r="Y21" s="185" t="e">
        <f>X21*35%</f>
        <v>#VALUE!</v>
      </c>
      <c r="Z21" s="184">
        <f t="shared" si="10"/>
        <v>157848.63512849296</v>
      </c>
      <c r="AA21" s="184">
        <f t="shared" si="22"/>
        <v>4534.2869427122887</v>
      </c>
      <c r="AB21" s="184">
        <f t="shared" si="11"/>
        <v>103749.56885733537</v>
      </c>
      <c r="AC21" s="184">
        <f t="shared" si="12"/>
        <v>0</v>
      </c>
      <c r="AD21" s="184">
        <f t="shared" si="13"/>
        <v>409861.98278257536</v>
      </c>
      <c r="AE21" s="184">
        <f t="shared" si="6"/>
        <v>382253.54531682329</v>
      </c>
      <c r="AF21" s="184">
        <f t="shared" si="14"/>
        <v>11246.139275842026</v>
      </c>
      <c r="AG21" s="184">
        <f t="shared" si="15"/>
        <v>272111.86662789976</v>
      </c>
      <c r="AH21" s="184">
        <f t="shared" si="16"/>
        <v>0</v>
      </c>
      <c r="AI21" s="184">
        <f t="shared" si="17"/>
        <v>1074976.1220515505</v>
      </c>
      <c r="AJ21" s="184">
        <f>IF('Expenses by Building'!$O$4=B21,'Expenses by Building'!$O$30,0)</f>
        <v>0</v>
      </c>
      <c r="AK21" s="182">
        <f t="shared" si="18"/>
        <v>675994.47371111601</v>
      </c>
      <c r="AL21" s="182">
        <f t="shared" si="19"/>
        <v>1740587.6732721156</v>
      </c>
    </row>
    <row r="22" spans="2:38">
      <c r="B22" s="249" t="s">
        <v>34</v>
      </c>
      <c r="C22" s="250" t="s">
        <v>90</v>
      </c>
      <c r="D22" s="249">
        <v>2018</v>
      </c>
      <c r="E22" s="249"/>
      <c r="F22" s="251">
        <v>23685</v>
      </c>
      <c r="G22" s="259">
        <v>22505</v>
      </c>
      <c r="H22" s="253">
        <v>0.95020000000000004</v>
      </c>
      <c r="I22" s="254">
        <v>10</v>
      </c>
      <c r="J22" s="254">
        <v>7</v>
      </c>
      <c r="K22" s="255"/>
      <c r="L22" s="255" t="s">
        <v>59</v>
      </c>
      <c r="M22" s="256">
        <f>'FUSION Assessment'!F19</f>
        <v>70502192</v>
      </c>
      <c r="N22" s="247" t="str">
        <f>IFERROR(VLOOKUP($AK$3,'Summary Data'!#REF!,17,0),"")</f>
        <v/>
      </c>
      <c r="O22" s="241" t="e">
        <f>N22*80%</f>
        <v>#VALUE!</v>
      </c>
      <c r="P22" s="249">
        <v>80</v>
      </c>
      <c r="Q22" s="182">
        <f t="shared" si="0"/>
        <v>38021.400018714194</v>
      </c>
      <c r="R22" s="182">
        <f t="shared" si="1"/>
        <v>1092.1851652892562</v>
      </c>
      <c r="S22" s="182">
        <f t="shared" si="7"/>
        <v>39113.585184003452</v>
      </c>
      <c r="T22" s="182">
        <f t="shared" si="2"/>
        <v>26426.539520862265</v>
      </c>
      <c r="U22" s="183">
        <f t="shared" si="3"/>
        <v>0</v>
      </c>
      <c r="V22" s="182">
        <f t="shared" si="4"/>
        <v>104397.86888171632</v>
      </c>
      <c r="W22" s="182">
        <f t="shared" si="8"/>
        <v>169937.99358658202</v>
      </c>
      <c r="X22" s="184" t="e">
        <f t="shared" si="5"/>
        <v>#VALUE!</v>
      </c>
      <c r="Y22" s="185" t="e">
        <f t="shared" si="9"/>
        <v>#VALUE!</v>
      </c>
      <c r="Z22" s="184">
        <f t="shared" si="10"/>
        <v>474748.56165312452</v>
      </c>
      <c r="AA22" s="184">
        <f t="shared" si="22"/>
        <v>13637.407776271821</v>
      </c>
      <c r="AB22" s="184">
        <f t="shared" si="11"/>
        <v>312039.17947758583</v>
      </c>
      <c r="AC22" s="184">
        <f t="shared" si="12"/>
        <v>0</v>
      </c>
      <c r="AD22" s="184">
        <f t="shared" si="13"/>
        <v>1232708.7063117838</v>
      </c>
      <c r="AE22" s="184">
        <f t="shared" si="6"/>
        <v>1149673.0439147884</v>
      </c>
      <c r="AF22" s="184">
        <f t="shared" si="14"/>
        <v>33824.102698199174</v>
      </c>
      <c r="AG22" s="184">
        <f t="shared" si="15"/>
        <v>818408.83315324504</v>
      </c>
      <c r="AH22" s="184">
        <f t="shared" si="16"/>
        <v>0</v>
      </c>
      <c r="AI22" s="184">
        <f t="shared" si="17"/>
        <v>3233118.6604179014</v>
      </c>
      <c r="AJ22" s="184">
        <f>IF('Expenses by Building'!$O$4=B22,'Expenses by Building'!$O$30,0)</f>
        <v>0</v>
      </c>
      <c r="AK22" s="182">
        <f t="shared" si="18"/>
        <v>2033133.8552187658</v>
      </c>
      <c r="AL22" s="182">
        <f t="shared" si="19"/>
        <v>5235024.6401841342</v>
      </c>
    </row>
    <row r="23" spans="2:38" ht="15.75">
      <c r="B23" s="249" t="s">
        <v>33</v>
      </c>
      <c r="C23" s="250" t="s">
        <v>91</v>
      </c>
      <c r="D23" s="249">
        <v>1955</v>
      </c>
      <c r="E23" s="249"/>
      <c r="F23" s="251">
        <v>17219</v>
      </c>
      <c r="G23" s="259">
        <v>15367</v>
      </c>
      <c r="H23" s="253">
        <v>0.89239999999999997</v>
      </c>
      <c r="I23" s="254">
        <v>36</v>
      </c>
      <c r="J23" s="254">
        <v>532</v>
      </c>
      <c r="K23" s="255" t="s">
        <v>92</v>
      </c>
      <c r="L23" s="255" t="s">
        <v>59</v>
      </c>
      <c r="M23" s="256">
        <f>'FUSION Assessment'!F20</f>
        <v>8150341.5</v>
      </c>
      <c r="N23" s="247" t="str">
        <f>IFERROR(VLOOKUP($AK$3,'Summary Data'!#REF!,18,0),"")</f>
        <v/>
      </c>
      <c r="O23" s="241" t="e">
        <f>N23*35%</f>
        <v>#VALUE!</v>
      </c>
      <c r="P23" s="257">
        <v>35</v>
      </c>
      <c r="Q23" s="182">
        <f t="shared" si="0"/>
        <v>27641.565840077677</v>
      </c>
      <c r="R23" s="182">
        <f t="shared" si="1"/>
        <v>794.01884573002746</v>
      </c>
      <c r="S23" s="182">
        <f t="shared" si="7"/>
        <v>28435.584685807706</v>
      </c>
      <c r="T23" s="182">
        <f t="shared" si="2"/>
        <v>19212.099810417028</v>
      </c>
      <c r="U23" s="183">
        <f t="shared" si="3"/>
        <v>0</v>
      </c>
      <c r="V23" s="182">
        <f t="shared" si="4"/>
        <v>75897.27271582323</v>
      </c>
      <c r="W23" s="182">
        <f t="shared" si="8"/>
        <v>123544.95721204797</v>
      </c>
      <c r="X23" s="184" t="e">
        <f t="shared" si="5"/>
        <v>#VALUE!</v>
      </c>
      <c r="Y23" s="185" t="e">
        <f>X23*35%</f>
        <v>#VALUE!</v>
      </c>
      <c r="Z23" s="184">
        <f t="shared" si="10"/>
        <v>345142.30454317713</v>
      </c>
      <c r="AA23" s="184">
        <f t="shared" si="22"/>
        <v>9914.3983322619551</v>
      </c>
      <c r="AB23" s="184">
        <f t="shared" si="11"/>
        <v>226852.54935294701</v>
      </c>
      <c r="AC23" s="184">
        <f t="shared" si="12"/>
        <v>0</v>
      </c>
      <c r="AD23" s="184">
        <f t="shared" si="13"/>
        <v>896179.48971849727</v>
      </c>
      <c r="AE23" s="184">
        <f t="shared" si="6"/>
        <v>835812.54562671494</v>
      </c>
      <c r="AF23" s="184">
        <f t="shared" si="14"/>
        <v>24590.129801996682</v>
      </c>
      <c r="AG23" s="184">
        <f t="shared" si="15"/>
        <v>594983.39447184827</v>
      </c>
      <c r="AH23" s="184">
        <f t="shared" si="16"/>
        <v>0</v>
      </c>
      <c r="AI23" s="184">
        <f t="shared" si="17"/>
        <v>2350477.9486483354</v>
      </c>
      <c r="AJ23" s="184">
        <f>IF('Expenses by Building'!$O$4=B23,'Expenses by Building'!$O$30,0)</f>
        <v>0</v>
      </c>
      <c r="AK23" s="182">
        <f t="shared" si="18"/>
        <v>1478088.7419468835</v>
      </c>
      <c r="AL23" s="182">
        <f t="shared" si="19"/>
        <v>3805864.0185488951</v>
      </c>
    </row>
    <row r="24" spans="2:38" ht="15.75">
      <c r="B24" s="249" t="s">
        <v>93</v>
      </c>
      <c r="C24" s="250" t="s">
        <v>94</v>
      </c>
      <c r="D24" s="249">
        <v>1967</v>
      </c>
      <c r="E24" s="249"/>
      <c r="F24" s="251">
        <v>58666</v>
      </c>
      <c r="G24" s="259">
        <v>44516</v>
      </c>
      <c r="H24" s="253">
        <v>0.75880000000000003</v>
      </c>
      <c r="I24" s="254">
        <v>91</v>
      </c>
      <c r="J24" s="258">
        <v>1353</v>
      </c>
      <c r="K24" s="255"/>
      <c r="L24" s="255" t="s">
        <v>59</v>
      </c>
      <c r="M24" s="256">
        <f>'FUSION Assessment'!F21</f>
        <v>28297545.100000001</v>
      </c>
      <c r="N24" s="247" t="str">
        <f>IFERROR(VLOOKUP($AK$3,'Summary Data'!#REF!,19,0),"")</f>
        <v/>
      </c>
      <c r="O24" s="241" t="e">
        <f>N24*35%</f>
        <v>#VALUE!</v>
      </c>
      <c r="P24" s="257">
        <v>35</v>
      </c>
      <c r="Q24" s="182">
        <f t="shared" si="0"/>
        <v>94176.20660746831</v>
      </c>
      <c r="R24" s="182">
        <f t="shared" si="1"/>
        <v>2705.2621873278235</v>
      </c>
      <c r="S24" s="182">
        <f t="shared" si="7"/>
        <v>96881.468794796136</v>
      </c>
      <c r="T24" s="182">
        <f t="shared" si="2"/>
        <v>65456.59140936903</v>
      </c>
      <c r="U24" s="183">
        <f t="shared" si="3"/>
        <v>0</v>
      </c>
      <c r="V24" s="182">
        <f t="shared" si="4"/>
        <v>258585.82967341226</v>
      </c>
      <c r="W24" s="182">
        <f t="shared" si="8"/>
        <v>420923.88987757743</v>
      </c>
      <c r="X24" s="184" t="e">
        <f t="shared" si="5"/>
        <v>#VALUE!</v>
      </c>
      <c r="Y24" s="185" t="e">
        <f>X24*35%</f>
        <v>#VALUE!</v>
      </c>
      <c r="Z24" s="184">
        <f t="shared" si="10"/>
        <v>1175917.2099616716</v>
      </c>
      <c r="AA24" s="184">
        <f t="shared" si="22"/>
        <v>33778.854321417035</v>
      </c>
      <c r="AB24" s="184">
        <f t="shared" si="11"/>
        <v>772898.05797897605</v>
      </c>
      <c r="AC24" s="184">
        <f t="shared" si="12"/>
        <v>0</v>
      </c>
      <c r="AD24" s="184">
        <f t="shared" si="13"/>
        <v>3053328.6453235005</v>
      </c>
      <c r="AE24" s="184">
        <f t="shared" si="6"/>
        <v>2847655.4272453012</v>
      </c>
      <c r="AF24" s="184">
        <f t="shared" si="14"/>
        <v>83779.810381783929</v>
      </c>
      <c r="AG24" s="184">
        <f t="shared" si="15"/>
        <v>2027138.3831863317</v>
      </c>
      <c r="AH24" s="184">
        <f t="shared" si="16"/>
        <v>0</v>
      </c>
      <c r="AI24" s="184">
        <f t="shared" si="17"/>
        <v>8008196.7207969837</v>
      </c>
      <c r="AJ24" s="184">
        <f>IF('Expenses by Building'!$O$4=B24,'Expenses by Building'!$O$30,0)</f>
        <v>0</v>
      </c>
      <c r="AK24" s="182">
        <f t="shared" si="18"/>
        <v>5035922.7675855653</v>
      </c>
      <c r="AL24" s="182">
        <f t="shared" si="19"/>
        <v>12966770.341610402</v>
      </c>
    </row>
    <row r="25" spans="2:38" ht="15.75">
      <c r="B25" s="249" t="s">
        <v>95</v>
      </c>
      <c r="C25" s="250" t="s">
        <v>96</v>
      </c>
      <c r="D25" s="249">
        <v>1972</v>
      </c>
      <c r="E25" s="249"/>
      <c r="F25" s="251">
        <v>24304</v>
      </c>
      <c r="G25" s="259">
        <v>16876</v>
      </c>
      <c r="H25" s="253">
        <v>0.69440000000000002</v>
      </c>
      <c r="I25" s="254">
        <v>77</v>
      </c>
      <c r="J25" s="254">
        <v>238</v>
      </c>
      <c r="K25" s="255"/>
      <c r="L25" s="255" t="s">
        <v>59</v>
      </c>
      <c r="M25" s="256">
        <f>'FUSION Assessment'!F22</f>
        <v>11248620.32</v>
      </c>
      <c r="N25" s="247" t="str">
        <f>IFERROR(VLOOKUP($AK$3,'Summary Data'!#REF!,20,0),"")</f>
        <v/>
      </c>
      <c r="O25" s="241" t="e">
        <f>N25*35%</f>
        <v>#VALUE!</v>
      </c>
      <c r="P25" s="257">
        <v>35</v>
      </c>
      <c r="Q25" s="182">
        <f t="shared" si="0"/>
        <v>39015.077308626969</v>
      </c>
      <c r="R25" s="182">
        <f t="shared" si="1"/>
        <v>1120.7290798898071</v>
      </c>
      <c r="S25" s="182">
        <f t="shared" si="7"/>
        <v>40135.806388516779</v>
      </c>
      <c r="T25" s="182">
        <f t="shared" si="2"/>
        <v>27117.188791008506</v>
      </c>
      <c r="U25" s="183">
        <f t="shared" si="3"/>
        <v>0</v>
      </c>
      <c r="V25" s="182">
        <f t="shared" si="4"/>
        <v>107126.27423691085</v>
      </c>
      <c r="W25" s="182">
        <f t="shared" si="8"/>
        <v>174379.26941643615</v>
      </c>
      <c r="X25" s="184" t="e">
        <f t="shared" si="5"/>
        <v>#VALUE!</v>
      </c>
      <c r="Y25" s="185" t="e">
        <f>X25*35%</f>
        <v>#VALUE!</v>
      </c>
      <c r="Z25" s="184">
        <f t="shared" si="10"/>
        <v>487155.96548100223</v>
      </c>
      <c r="AA25" s="184">
        <f t="shared" si="22"/>
        <v>13993.817124530726</v>
      </c>
      <c r="AB25" s="184">
        <f t="shared" si="11"/>
        <v>320194.22495348303</v>
      </c>
      <c r="AC25" s="184">
        <f t="shared" si="12"/>
        <v>0</v>
      </c>
      <c r="AD25" s="184">
        <f t="shared" si="13"/>
        <v>1264925.1593076456</v>
      </c>
      <c r="AE25" s="184">
        <f t="shared" si="6"/>
        <v>1179719.3860800092</v>
      </c>
      <c r="AF25" s="184">
        <f t="shared" si="14"/>
        <v>34708.084947309799</v>
      </c>
      <c r="AG25" s="184">
        <f t="shared" si="15"/>
        <v>839797.6897173936</v>
      </c>
      <c r="AH25" s="184">
        <f t="shared" si="16"/>
        <v>0</v>
      </c>
      <c r="AI25" s="184">
        <f t="shared" si="17"/>
        <v>3317615.1962337634</v>
      </c>
      <c r="AJ25" s="184">
        <f>IF('Expenses by Building'!$O$4=B25,'Expenses by Building'!$O$30,0)</f>
        <v>0</v>
      </c>
      <c r="AK25" s="182">
        <f t="shared" si="18"/>
        <v>2086269.1668666615</v>
      </c>
      <c r="AL25" s="182">
        <f t="shared" si="19"/>
        <v>5371840.356978476</v>
      </c>
    </row>
    <row r="26" spans="2:38" ht="15.75">
      <c r="B26" s="257" t="s">
        <v>97</v>
      </c>
      <c r="C26" s="250" t="s">
        <v>98</v>
      </c>
      <c r="D26" s="249">
        <v>2021</v>
      </c>
      <c r="E26" s="249"/>
      <c r="F26" s="261">
        <v>65500</v>
      </c>
      <c r="G26" s="259">
        <v>40233</v>
      </c>
      <c r="H26" s="253">
        <v>0.61419999999999997</v>
      </c>
      <c r="I26" s="254">
        <v>80</v>
      </c>
      <c r="J26" s="254">
        <v>907</v>
      </c>
      <c r="K26" s="255"/>
      <c r="L26" s="255"/>
      <c r="M26" s="262">
        <f>'FUSION Assessment'!$F$23</f>
        <v>46104524</v>
      </c>
      <c r="N26" s="247" t="str">
        <f>IFERROR(VLOOKUP($AK$3,'Summary Data'!#REF!,21,0),"")</f>
        <v/>
      </c>
      <c r="O26" s="241" t="e">
        <f>N26*80%</f>
        <v>#VALUE!</v>
      </c>
      <c r="P26" s="249">
        <v>80</v>
      </c>
      <c r="Q26" s="182">
        <f t="shared" si="0"/>
        <v>105146.7891587832</v>
      </c>
      <c r="R26" s="182">
        <f t="shared" si="1"/>
        <v>3020.3980716253441</v>
      </c>
      <c r="S26" s="182">
        <f t="shared" si="7"/>
        <v>108167.18723040854</v>
      </c>
      <c r="T26" s="182">
        <f t="shared" si="2"/>
        <v>73081.627131791349</v>
      </c>
      <c r="U26" s="183">
        <f t="shared" si="3"/>
        <v>0</v>
      </c>
      <c r="V26" s="182">
        <f t="shared" si="4"/>
        <v>288708.48265790241</v>
      </c>
      <c r="W26" s="182">
        <f t="shared" si="8"/>
        <v>469957.29702010227</v>
      </c>
      <c r="X26" s="184" t="e">
        <f t="shared" si="5"/>
        <v>#VALUE!</v>
      </c>
      <c r="Y26" s="185" t="e">
        <f t="shared" si="9"/>
        <v>#VALUE!</v>
      </c>
      <c r="Z26" s="184">
        <f t="shared" si="10"/>
        <v>1312899.758846513</v>
      </c>
      <c r="AA26" s="184">
        <f t="shared" si="22"/>
        <v>37713.751713987927</v>
      </c>
      <c r="AB26" s="184">
        <f t="shared" si="11"/>
        <v>862932.92192450375</v>
      </c>
      <c r="AC26" s="184">
        <f t="shared" si="12"/>
        <v>0</v>
      </c>
      <c r="AD26" s="184">
        <f t="shared" si="13"/>
        <v>3409010.7774296748</v>
      </c>
      <c r="AE26" s="184">
        <f t="shared" si="6"/>
        <v>3179378.694381197</v>
      </c>
      <c r="AF26" s="184">
        <f t="shared" si="14"/>
        <v>93539.317151447976</v>
      </c>
      <c r="AG26" s="184">
        <f t="shared" si="15"/>
        <v>2263279.6525876098</v>
      </c>
      <c r="AH26" s="184">
        <f t="shared" si="16"/>
        <v>0</v>
      </c>
      <c r="AI26" s="184">
        <f t="shared" si="17"/>
        <v>8941071.2373811491</v>
      </c>
      <c r="AJ26" s="184">
        <f>IF('Expenses by Building'!$O$4=B26,'Expenses by Building'!$O$30,0)</f>
        <v>0</v>
      </c>
      <c r="AK26" s="182">
        <f t="shared" si="18"/>
        <v>5622557.2099146796</v>
      </c>
      <c r="AL26" s="182">
        <f t="shared" si="19"/>
        <v>14477268.901501404</v>
      </c>
    </row>
    <row r="27" spans="2:38" ht="15.75">
      <c r="B27" s="249" t="s">
        <v>99</v>
      </c>
      <c r="C27" s="250" t="s">
        <v>100</v>
      </c>
      <c r="D27" s="249">
        <v>1970</v>
      </c>
      <c r="E27" s="249"/>
      <c r="F27" s="251">
        <v>18212</v>
      </c>
      <c r="G27" s="252">
        <v>11993</v>
      </c>
      <c r="H27" s="253">
        <v>0.65849999999999997</v>
      </c>
      <c r="I27" s="254">
        <v>20</v>
      </c>
      <c r="J27" s="254">
        <v>239</v>
      </c>
      <c r="K27" s="255"/>
      <c r="L27" s="255" t="s">
        <v>59</v>
      </c>
      <c r="M27" s="256">
        <f>'FUSION Assessment'!F24</f>
        <v>9012208.1999999993</v>
      </c>
      <c r="N27" s="247" t="str">
        <f>IFERROR(VLOOKUP($AK$3,'Summary Data'!#REF!,22,0),"")</f>
        <v/>
      </c>
      <c r="O27" s="241" t="e">
        <f>N27*35%</f>
        <v>#VALUE!</v>
      </c>
      <c r="P27" s="257">
        <v>35</v>
      </c>
      <c r="Q27" s="182">
        <f t="shared" si="0"/>
        <v>29235.623269614647</v>
      </c>
      <c r="R27" s="182">
        <f t="shared" si="1"/>
        <v>839.80900275482088</v>
      </c>
      <c r="S27" s="182">
        <f t="shared" si="7"/>
        <v>30075.432272369468</v>
      </c>
      <c r="T27" s="182">
        <f t="shared" si="2"/>
        <v>20320.039592735637</v>
      </c>
      <c r="U27" s="183">
        <f t="shared" si="3"/>
        <v>0</v>
      </c>
      <c r="V27" s="182">
        <f t="shared" si="4"/>
        <v>80274.181468178911</v>
      </c>
      <c r="W27" s="182">
        <f t="shared" si="8"/>
        <v>130669.65333328402</v>
      </c>
      <c r="X27" s="184" t="e">
        <f t="shared" si="5"/>
        <v>#VALUE!</v>
      </c>
      <c r="Y27" s="185" t="e">
        <f>X27*35%</f>
        <v>#VALUE!</v>
      </c>
      <c r="Z27" s="184">
        <f t="shared" si="10"/>
        <v>365046.26577271277</v>
      </c>
      <c r="AA27" s="184">
        <f t="shared" si="22"/>
        <v>10486.15032389539</v>
      </c>
      <c r="AB27" s="184">
        <f t="shared" si="11"/>
        <v>239934.87594029104</v>
      </c>
      <c r="AC27" s="184">
        <f t="shared" si="12"/>
        <v>0</v>
      </c>
      <c r="AD27" s="184">
        <f t="shared" si="13"/>
        <v>947861.13402365241</v>
      </c>
      <c r="AE27" s="184">
        <f t="shared" si="6"/>
        <v>884012.89743618842</v>
      </c>
      <c r="AF27" s="184">
        <f t="shared" si="14"/>
        <v>26008.214411636189</v>
      </c>
      <c r="AG27" s="184">
        <f t="shared" si="15"/>
        <v>629295.40508283291</v>
      </c>
      <c r="AH27" s="184">
        <f t="shared" si="16"/>
        <v>0</v>
      </c>
      <c r="AI27" s="184">
        <f t="shared" si="17"/>
        <v>2486027.3187051215</v>
      </c>
      <c r="AJ27" s="184">
        <f>IF('Expenses by Building'!$O$4=B27,'Expenses by Building'!$O$30,0)</f>
        <v>0</v>
      </c>
      <c r="AK27" s="182">
        <f t="shared" si="18"/>
        <v>1563328.4260605515</v>
      </c>
      <c r="AL27" s="182">
        <f t="shared" si="19"/>
        <v>4025343.835635779</v>
      </c>
    </row>
    <row r="28" spans="2:38">
      <c r="B28" s="249" t="s">
        <v>101</v>
      </c>
      <c r="C28" s="250" t="s">
        <v>102</v>
      </c>
      <c r="D28" s="249">
        <v>2010</v>
      </c>
      <c r="E28" s="249"/>
      <c r="F28" s="251">
        <v>5167</v>
      </c>
      <c r="G28" s="252">
        <v>4710</v>
      </c>
      <c r="H28" s="253">
        <v>0.91159999999999997</v>
      </c>
      <c r="I28" s="254">
        <v>20</v>
      </c>
      <c r="J28" s="254">
        <v>103</v>
      </c>
      <c r="K28" s="255"/>
      <c r="L28" s="255" t="s">
        <v>59</v>
      </c>
      <c r="M28" s="256">
        <f>'FUSION Assessment'!F25</f>
        <v>2440735.79</v>
      </c>
      <c r="N28" s="247" t="str">
        <f>IFERROR(VLOOKUP($AK$3,'Summary Data'!#REF!,23,0),"")</f>
        <v/>
      </c>
      <c r="O28" s="241" t="e">
        <f t="shared" ref="O28:O46" si="23">N28*80%</f>
        <v>#VALUE!</v>
      </c>
      <c r="P28" s="249">
        <v>80</v>
      </c>
      <c r="Q28" s="182">
        <f t="shared" si="0"/>
        <v>8294.5566348615685</v>
      </c>
      <c r="R28" s="182">
        <f t="shared" si="1"/>
        <v>238.26560055096417</v>
      </c>
      <c r="S28" s="182">
        <f t="shared" si="7"/>
        <v>8532.8222354125319</v>
      </c>
      <c r="T28" s="182">
        <f t="shared" si="2"/>
        <v>5765.0804181674184</v>
      </c>
      <c r="U28" s="183">
        <f t="shared" si="3"/>
        <v>0</v>
      </c>
      <c r="V28" s="182">
        <f t="shared" si="4"/>
        <v>22774.911906769186</v>
      </c>
      <c r="W28" s="182">
        <f t="shared" si="8"/>
        <v>37072.814560349136</v>
      </c>
      <c r="X28" s="184" t="e">
        <f t="shared" si="5"/>
        <v>#VALUE!</v>
      </c>
      <c r="Y28" s="185" t="e">
        <f t="shared" si="9"/>
        <v>#VALUE!</v>
      </c>
      <c r="Z28" s="184">
        <f t="shared" si="10"/>
        <v>103568.74891541879</v>
      </c>
      <c r="AA28" s="184">
        <f t="shared" si="22"/>
        <v>2975.0680168881772</v>
      </c>
      <c r="AB28" s="184">
        <f t="shared" si="11"/>
        <v>68072.891718838335</v>
      </c>
      <c r="AC28" s="184">
        <f t="shared" si="12"/>
        <v>0</v>
      </c>
      <c r="AD28" s="184">
        <f t="shared" si="13"/>
        <v>268921.50667143706</v>
      </c>
      <c r="AE28" s="184">
        <f t="shared" si="6"/>
        <v>250806.8658605747</v>
      </c>
      <c r="AF28" s="184">
        <f t="shared" si="14"/>
        <v>7378.8954461302546</v>
      </c>
      <c r="AG28" s="184">
        <f t="shared" si="15"/>
        <v>178539.93839572795</v>
      </c>
      <c r="AH28" s="184">
        <f t="shared" si="16"/>
        <v>0</v>
      </c>
      <c r="AI28" s="184">
        <f t="shared" si="17"/>
        <v>705320.84097020444</v>
      </c>
      <c r="AJ28" s="184">
        <f>IF('Expenses by Building'!$O$4=B28,'Expenses by Building'!$O$30,0)</f>
        <v>0</v>
      </c>
      <c r="AK28" s="182">
        <f t="shared" si="18"/>
        <v>443538.2153225824</v>
      </c>
      <c r="AL28" s="182">
        <f t="shared" si="19"/>
        <v>1142046.5406726373</v>
      </c>
    </row>
    <row r="29" spans="2:38">
      <c r="B29" s="249" t="s">
        <v>103</v>
      </c>
      <c r="C29" s="250" t="s">
        <v>102</v>
      </c>
      <c r="D29" s="249">
        <v>2010</v>
      </c>
      <c r="E29" s="249"/>
      <c r="F29" s="251">
        <v>2847</v>
      </c>
      <c r="G29" s="252">
        <v>2584</v>
      </c>
      <c r="H29" s="253">
        <v>0.90759999999999996</v>
      </c>
      <c r="I29" s="254">
        <v>8</v>
      </c>
      <c r="J29" s="254">
        <v>96</v>
      </c>
      <c r="K29" s="255"/>
      <c r="L29" s="255" t="s">
        <v>59</v>
      </c>
      <c r="M29" s="256">
        <f>'FUSION Assessment'!F26</f>
        <v>1344837.39</v>
      </c>
      <c r="N29" s="247" t="str">
        <f>IFERROR(VLOOKUP($AK$3,'Summary Data'!#REF!,24,0),"")</f>
        <v/>
      </c>
      <c r="O29" s="241" t="e">
        <f t="shared" si="23"/>
        <v>#VALUE!</v>
      </c>
      <c r="P29" s="249">
        <v>80</v>
      </c>
      <c r="Q29" s="182">
        <f t="shared" si="0"/>
        <v>4570.2734158023777</v>
      </c>
      <c r="R29" s="182">
        <f t="shared" si="1"/>
        <v>131.28356198347106</v>
      </c>
      <c r="S29" s="182">
        <f t="shared" si="7"/>
        <v>4701.5569777858491</v>
      </c>
      <c r="T29" s="182">
        <f t="shared" si="2"/>
        <v>3176.5403426596945</v>
      </c>
      <c r="U29" s="183">
        <f t="shared" si="3"/>
        <v>0</v>
      </c>
      <c r="V29" s="182">
        <f t="shared" si="4"/>
        <v>12548.901528657225</v>
      </c>
      <c r="W29" s="182">
        <f t="shared" si="8"/>
        <v>20426.998849102769</v>
      </c>
      <c r="X29" s="184" t="e">
        <f t="shared" si="5"/>
        <v>#VALUE!</v>
      </c>
      <c r="Y29" s="185" t="e">
        <f t="shared" si="9"/>
        <v>#VALUE!</v>
      </c>
      <c r="Z29" s="184">
        <f t="shared" si="10"/>
        <v>57066.0398997866</v>
      </c>
      <c r="AA29" s="184">
        <f t="shared" si="22"/>
        <v>1639.2526890034139</v>
      </c>
      <c r="AB29" s="184">
        <f t="shared" si="11"/>
        <v>37507.93936975667</v>
      </c>
      <c r="AC29" s="184">
        <f t="shared" si="12"/>
        <v>0</v>
      </c>
      <c r="AD29" s="184">
        <f t="shared" si="13"/>
        <v>148174.86539453868</v>
      </c>
      <c r="AE29" s="184">
        <f t="shared" si="6"/>
        <v>138193.7579069201</v>
      </c>
      <c r="AF29" s="184">
        <f t="shared" si="14"/>
        <v>4065.7471134377461</v>
      </c>
      <c r="AG29" s="184">
        <f t="shared" si="15"/>
        <v>98374.918639953074</v>
      </c>
      <c r="AH29" s="184">
        <f t="shared" si="16"/>
        <v>0</v>
      </c>
      <c r="AI29" s="184">
        <f t="shared" si="17"/>
        <v>388629.46279120818</v>
      </c>
      <c r="AJ29" s="184">
        <f>IF('Expenses by Building'!$O$4=B29,'Expenses by Building'!$O$30,0)</f>
        <v>0</v>
      </c>
      <c r="AK29" s="182">
        <f t="shared" si="18"/>
        <v>244388.09735308535</v>
      </c>
      <c r="AL29" s="182">
        <f t="shared" si="19"/>
        <v>629263.88645151909</v>
      </c>
    </row>
    <row r="30" spans="2:38">
      <c r="B30" s="249" t="s">
        <v>104</v>
      </c>
      <c r="C30" s="250" t="s">
        <v>102</v>
      </c>
      <c r="D30" s="249">
        <v>2010</v>
      </c>
      <c r="E30" s="249"/>
      <c r="F30" s="251">
        <v>2847</v>
      </c>
      <c r="G30" s="252">
        <v>2570</v>
      </c>
      <c r="H30" s="253">
        <v>0.90269999999999995</v>
      </c>
      <c r="I30" s="254">
        <v>7</v>
      </c>
      <c r="J30" s="254">
        <v>96</v>
      </c>
      <c r="K30" s="255"/>
      <c r="L30" s="255" t="s">
        <v>59</v>
      </c>
      <c r="M30" s="256">
        <f>'FUSION Assessment'!F27</f>
        <v>1344837.39</v>
      </c>
      <c r="N30" s="247" t="str">
        <f>IFERROR(VLOOKUP($AK$3,'Summary Data'!#REF!,25,0),"")</f>
        <v/>
      </c>
      <c r="O30" s="241" t="e">
        <f t="shared" si="23"/>
        <v>#VALUE!</v>
      </c>
      <c r="P30" s="249">
        <v>80</v>
      </c>
      <c r="Q30" s="182">
        <f t="shared" si="0"/>
        <v>4570.2734158023777</v>
      </c>
      <c r="R30" s="182">
        <f t="shared" si="1"/>
        <v>131.28356198347106</v>
      </c>
      <c r="S30" s="182">
        <f t="shared" si="7"/>
        <v>4701.5569777858491</v>
      </c>
      <c r="T30" s="182">
        <f t="shared" si="2"/>
        <v>3176.5403426596945</v>
      </c>
      <c r="U30" s="183">
        <f t="shared" si="3"/>
        <v>0</v>
      </c>
      <c r="V30" s="182">
        <f t="shared" si="4"/>
        <v>12548.901528657225</v>
      </c>
      <c r="W30" s="182">
        <f t="shared" si="8"/>
        <v>20426.998849102769</v>
      </c>
      <c r="X30" s="184" t="e">
        <f t="shared" si="5"/>
        <v>#VALUE!</v>
      </c>
      <c r="Y30" s="185" t="e">
        <f t="shared" si="9"/>
        <v>#VALUE!</v>
      </c>
      <c r="Z30" s="184">
        <f t="shared" si="10"/>
        <v>57066.0398997866</v>
      </c>
      <c r="AA30" s="184">
        <f t="shared" si="22"/>
        <v>1639.2526890034139</v>
      </c>
      <c r="AB30" s="184">
        <f t="shared" si="11"/>
        <v>37507.93936975667</v>
      </c>
      <c r="AC30" s="184">
        <f t="shared" si="12"/>
        <v>0</v>
      </c>
      <c r="AD30" s="184">
        <f t="shared" si="13"/>
        <v>148174.86539453868</v>
      </c>
      <c r="AE30" s="184">
        <f t="shared" si="6"/>
        <v>138193.7579069201</v>
      </c>
      <c r="AF30" s="184">
        <f t="shared" si="14"/>
        <v>4065.7471134377461</v>
      </c>
      <c r="AG30" s="184">
        <f t="shared" si="15"/>
        <v>98374.918639953074</v>
      </c>
      <c r="AH30" s="184">
        <f t="shared" si="16"/>
        <v>0</v>
      </c>
      <c r="AI30" s="184">
        <f t="shared" si="17"/>
        <v>388629.46279120818</v>
      </c>
      <c r="AJ30" s="184">
        <f>IF('Expenses by Building'!$O$4=B30,'Expenses by Building'!$O$30,0)</f>
        <v>0</v>
      </c>
      <c r="AK30" s="182">
        <f t="shared" si="18"/>
        <v>244388.09735308535</v>
      </c>
      <c r="AL30" s="182">
        <f t="shared" si="19"/>
        <v>629263.88645151909</v>
      </c>
    </row>
    <row r="31" spans="2:38">
      <c r="B31" s="249" t="s">
        <v>105</v>
      </c>
      <c r="C31" s="250" t="s">
        <v>102</v>
      </c>
      <c r="D31" s="249">
        <v>2010</v>
      </c>
      <c r="E31" s="249"/>
      <c r="F31" s="251">
        <v>2847</v>
      </c>
      <c r="G31" s="252">
        <v>2607</v>
      </c>
      <c r="H31" s="253">
        <v>0.91569999999999996</v>
      </c>
      <c r="I31" s="254">
        <v>5</v>
      </c>
      <c r="J31" s="254">
        <v>96</v>
      </c>
      <c r="K31" s="255"/>
      <c r="L31" s="255" t="s">
        <v>59</v>
      </c>
      <c r="M31" s="256">
        <f>'FUSION Assessment'!F28</f>
        <v>1344837.39</v>
      </c>
      <c r="N31" s="247" t="str">
        <f>IFERROR(VLOOKUP($AK$3,'Summary Data'!#REF!,26,0),"")</f>
        <v/>
      </c>
      <c r="O31" s="241" t="e">
        <f t="shared" si="23"/>
        <v>#VALUE!</v>
      </c>
      <c r="P31" s="249">
        <v>80</v>
      </c>
      <c r="Q31" s="182">
        <f t="shared" si="0"/>
        <v>4570.2734158023777</v>
      </c>
      <c r="R31" s="182">
        <f t="shared" si="1"/>
        <v>131.28356198347106</v>
      </c>
      <c r="S31" s="182">
        <f t="shared" si="7"/>
        <v>4701.5569777858491</v>
      </c>
      <c r="T31" s="182">
        <f t="shared" si="2"/>
        <v>3176.5403426596945</v>
      </c>
      <c r="U31" s="183">
        <f t="shared" si="3"/>
        <v>0</v>
      </c>
      <c r="V31" s="182">
        <f t="shared" si="4"/>
        <v>12548.901528657225</v>
      </c>
      <c r="W31" s="182">
        <f t="shared" si="8"/>
        <v>20426.998849102769</v>
      </c>
      <c r="X31" s="184" t="e">
        <f t="shared" si="5"/>
        <v>#VALUE!</v>
      </c>
      <c r="Y31" s="185" t="e">
        <f t="shared" si="9"/>
        <v>#VALUE!</v>
      </c>
      <c r="Z31" s="184">
        <f t="shared" si="10"/>
        <v>57066.0398997866</v>
      </c>
      <c r="AA31" s="184">
        <f t="shared" si="22"/>
        <v>1639.2526890034139</v>
      </c>
      <c r="AB31" s="184">
        <f t="shared" si="11"/>
        <v>37507.93936975667</v>
      </c>
      <c r="AC31" s="184">
        <f t="shared" si="12"/>
        <v>0</v>
      </c>
      <c r="AD31" s="184">
        <f t="shared" si="13"/>
        <v>148174.86539453868</v>
      </c>
      <c r="AE31" s="184">
        <f t="shared" si="6"/>
        <v>138193.7579069201</v>
      </c>
      <c r="AF31" s="184">
        <f t="shared" si="14"/>
        <v>4065.7471134377461</v>
      </c>
      <c r="AG31" s="184">
        <f t="shared" si="15"/>
        <v>98374.918639953074</v>
      </c>
      <c r="AH31" s="184">
        <f t="shared" si="16"/>
        <v>0</v>
      </c>
      <c r="AI31" s="184">
        <f t="shared" si="17"/>
        <v>388629.46279120818</v>
      </c>
      <c r="AJ31" s="184">
        <f>IF('Expenses by Building'!$O$4=B31,'Expenses by Building'!$O$30,0)</f>
        <v>0</v>
      </c>
      <c r="AK31" s="182">
        <f t="shared" si="18"/>
        <v>244388.09735308535</v>
      </c>
      <c r="AL31" s="182">
        <f t="shared" si="19"/>
        <v>629263.88645151909</v>
      </c>
    </row>
    <row r="32" spans="2:38">
      <c r="B32" s="249" t="s">
        <v>106</v>
      </c>
      <c r="C32" s="250" t="s">
        <v>102</v>
      </c>
      <c r="D32" s="249">
        <v>2010</v>
      </c>
      <c r="E32" s="249"/>
      <c r="F32" s="251">
        <v>2847</v>
      </c>
      <c r="G32" s="252">
        <v>2586</v>
      </c>
      <c r="H32" s="253">
        <v>0.9083</v>
      </c>
      <c r="I32" s="254">
        <v>5</v>
      </c>
      <c r="J32" s="254">
        <v>96</v>
      </c>
      <c r="K32" s="255"/>
      <c r="L32" s="255" t="s">
        <v>59</v>
      </c>
      <c r="M32" s="256">
        <f>'FUSION Assessment'!F29</f>
        <v>1373250.45</v>
      </c>
      <c r="N32" s="247" t="str">
        <f>IFERROR(VLOOKUP($AK$3,'Summary Data'!#REF!,27,0),"")</f>
        <v/>
      </c>
      <c r="O32" s="241" t="e">
        <f t="shared" si="23"/>
        <v>#VALUE!</v>
      </c>
      <c r="P32" s="249">
        <v>80</v>
      </c>
      <c r="Q32" s="182">
        <f t="shared" si="0"/>
        <v>4570.2734158023777</v>
      </c>
      <c r="R32" s="182">
        <f t="shared" si="1"/>
        <v>131.28356198347106</v>
      </c>
      <c r="S32" s="182">
        <f t="shared" si="7"/>
        <v>4701.5569777858491</v>
      </c>
      <c r="T32" s="182">
        <f t="shared" si="2"/>
        <v>3176.5403426596945</v>
      </c>
      <c r="U32" s="183">
        <f t="shared" si="3"/>
        <v>0</v>
      </c>
      <c r="V32" s="182">
        <f t="shared" si="4"/>
        <v>12548.901528657225</v>
      </c>
      <c r="W32" s="182">
        <f t="shared" si="8"/>
        <v>20426.998849102769</v>
      </c>
      <c r="X32" s="184" t="e">
        <f t="shared" si="5"/>
        <v>#VALUE!</v>
      </c>
      <c r="Y32" s="185" t="e">
        <f t="shared" si="9"/>
        <v>#VALUE!</v>
      </c>
      <c r="Z32" s="184">
        <f t="shared" si="10"/>
        <v>57066.0398997866</v>
      </c>
      <c r="AA32" s="184">
        <f t="shared" si="22"/>
        <v>1639.2526890034139</v>
      </c>
      <c r="AB32" s="184">
        <f t="shared" si="11"/>
        <v>37507.93936975667</v>
      </c>
      <c r="AC32" s="184">
        <f t="shared" si="12"/>
        <v>0</v>
      </c>
      <c r="AD32" s="184">
        <f t="shared" si="13"/>
        <v>148174.86539453868</v>
      </c>
      <c r="AE32" s="184">
        <f t="shared" si="6"/>
        <v>138193.7579069201</v>
      </c>
      <c r="AF32" s="184">
        <f t="shared" si="14"/>
        <v>4065.7471134377461</v>
      </c>
      <c r="AG32" s="184">
        <f t="shared" si="15"/>
        <v>98374.918639953074</v>
      </c>
      <c r="AH32" s="184">
        <f t="shared" si="16"/>
        <v>0</v>
      </c>
      <c r="AI32" s="184">
        <f t="shared" si="17"/>
        <v>388629.46279120818</v>
      </c>
      <c r="AJ32" s="184">
        <f>IF('Expenses by Building'!$O$4=B32,'Expenses by Building'!$O$30,0)</f>
        <v>0</v>
      </c>
      <c r="AK32" s="182">
        <f t="shared" si="18"/>
        <v>244388.09735308535</v>
      </c>
      <c r="AL32" s="182">
        <f t="shared" si="19"/>
        <v>629263.88645151909</v>
      </c>
    </row>
    <row r="33" spans="2:38">
      <c r="B33" s="249" t="s">
        <v>107</v>
      </c>
      <c r="C33" s="250" t="s">
        <v>108</v>
      </c>
      <c r="D33" s="249">
        <v>2014</v>
      </c>
      <c r="E33" s="249"/>
      <c r="F33" s="251">
        <v>14900</v>
      </c>
      <c r="G33" s="252">
        <v>12426</v>
      </c>
      <c r="H33" s="253">
        <v>0.83860000000000001</v>
      </c>
      <c r="I33" s="254">
        <v>13</v>
      </c>
      <c r="J33" s="254">
        <v>95</v>
      </c>
      <c r="K33" s="255"/>
      <c r="L33" s="255" t="s">
        <v>59</v>
      </c>
      <c r="M33" s="256">
        <f>'FUSION Assessment'!F30</f>
        <v>5171492</v>
      </c>
      <c r="N33" s="247" t="str">
        <f>IFERROR(VLOOKUP($AK$3,'Summary Data'!#REF!,28,0),"")</f>
        <v/>
      </c>
      <c r="O33" s="241" t="e">
        <f t="shared" si="23"/>
        <v>#VALUE!</v>
      </c>
      <c r="P33" s="249">
        <v>80</v>
      </c>
      <c r="Q33" s="182">
        <f t="shared" si="0"/>
        <v>23918.887915509458</v>
      </c>
      <c r="R33" s="182">
        <f t="shared" si="1"/>
        <v>687.08292011019284</v>
      </c>
      <c r="S33" s="182">
        <f t="shared" si="7"/>
        <v>24605.97083561965</v>
      </c>
      <c r="T33" s="182">
        <f t="shared" si="2"/>
        <v>16624.67548494185</v>
      </c>
      <c r="U33" s="183">
        <f t="shared" si="3"/>
        <v>0</v>
      </c>
      <c r="V33" s="182">
        <f t="shared" si="4"/>
        <v>65675.670100805277</v>
      </c>
      <c r="W33" s="182">
        <f t="shared" si="8"/>
        <v>106906.31642136678</v>
      </c>
      <c r="X33" s="184" t="e">
        <f t="shared" si="5"/>
        <v>#VALUE!</v>
      </c>
      <c r="Y33" s="185" t="e">
        <f t="shared" si="9"/>
        <v>#VALUE!</v>
      </c>
      <c r="Z33" s="184">
        <f t="shared" si="10"/>
        <v>298659.6397986724</v>
      </c>
      <c r="AA33" s="184">
        <f t="shared" si="22"/>
        <v>8579.1587868461083</v>
      </c>
      <c r="AB33" s="184">
        <f t="shared" si="11"/>
        <v>196300.77155229167</v>
      </c>
      <c r="AC33" s="184">
        <f t="shared" si="12"/>
        <v>0</v>
      </c>
      <c r="AD33" s="184">
        <f t="shared" si="13"/>
        <v>775484.89440766629</v>
      </c>
      <c r="AE33" s="184">
        <f t="shared" si="6"/>
        <v>723247.97780579887</v>
      </c>
      <c r="AF33" s="184">
        <f t="shared" si="14"/>
        <v>21278.409550482062</v>
      </c>
      <c r="AG33" s="184">
        <f t="shared" si="15"/>
        <v>514852.92860389914</v>
      </c>
      <c r="AH33" s="184">
        <f t="shared" si="16"/>
        <v>0</v>
      </c>
      <c r="AI33" s="184">
        <f t="shared" si="17"/>
        <v>2033923.0753737269</v>
      </c>
      <c r="AJ33" s="184">
        <f>IF('Expenses by Building'!$O$4=B33,'Expenses by Building'!$O$30,0)</f>
        <v>0</v>
      </c>
      <c r="AK33" s="182">
        <f t="shared" si="18"/>
        <v>1279024.4645454765</v>
      </c>
      <c r="AL33" s="182">
        <f t="shared" si="19"/>
        <v>3293302.3913339069</v>
      </c>
    </row>
    <row r="34" spans="2:38">
      <c r="B34" s="249" t="s">
        <v>109</v>
      </c>
      <c r="C34" s="250" t="s">
        <v>110</v>
      </c>
      <c r="D34" s="249">
        <v>2014</v>
      </c>
      <c r="E34" s="249"/>
      <c r="F34" s="251">
        <v>15360</v>
      </c>
      <c r="G34" s="252">
        <v>13579</v>
      </c>
      <c r="H34" s="253">
        <v>0.88400000000000001</v>
      </c>
      <c r="I34" s="254">
        <v>23</v>
      </c>
      <c r="J34" s="254">
        <v>156</v>
      </c>
      <c r="K34" s="255"/>
      <c r="L34" s="255" t="s">
        <v>59</v>
      </c>
      <c r="M34" s="256">
        <f>'FUSION Assessment'!F31</f>
        <v>5331148.7999999998</v>
      </c>
      <c r="N34" s="247" t="str">
        <f>IFERROR(VLOOKUP($AK$3,'Summary Data'!#REF!,29,0),"")</f>
        <v/>
      </c>
      <c r="O34" s="241" t="e">
        <f t="shared" si="23"/>
        <v>#VALUE!</v>
      </c>
      <c r="P34" s="249">
        <v>80</v>
      </c>
      <c r="Q34" s="182">
        <f t="shared" si="0"/>
        <v>24657.323381357401</v>
      </c>
      <c r="R34" s="182">
        <f t="shared" si="1"/>
        <v>708.29487603305779</v>
      </c>
      <c r="S34" s="182">
        <f t="shared" si="7"/>
        <v>25365.618257390459</v>
      </c>
      <c r="T34" s="182">
        <f t="shared" si="2"/>
        <v>17137.920499913209</v>
      </c>
      <c r="U34" s="183">
        <f t="shared" si="3"/>
        <v>0</v>
      </c>
      <c r="V34" s="182">
        <f t="shared" si="4"/>
        <v>67703.241124051623</v>
      </c>
      <c r="W34" s="182">
        <f t="shared" si="8"/>
        <v>110206.77988135529</v>
      </c>
      <c r="X34" s="184" t="e">
        <f t="shared" si="5"/>
        <v>#VALUE!</v>
      </c>
      <c r="Y34" s="185" t="e">
        <f t="shared" si="9"/>
        <v>#VALUE!</v>
      </c>
      <c r="Z34" s="184">
        <f t="shared" si="10"/>
        <v>307880.00451728905</v>
      </c>
      <c r="AA34" s="184">
        <f t="shared" si="22"/>
        <v>8844.0187225473983</v>
      </c>
      <c r="AB34" s="184">
        <f t="shared" si="11"/>
        <v>202361.06382840269</v>
      </c>
      <c r="AC34" s="184">
        <f t="shared" si="12"/>
        <v>0</v>
      </c>
      <c r="AD34" s="184">
        <f t="shared" si="13"/>
        <v>799426.03879877552</v>
      </c>
      <c r="AE34" s="184">
        <f t="shared" si="6"/>
        <v>745576.43886557524</v>
      </c>
      <c r="AF34" s="184">
        <f t="shared" si="14"/>
        <v>21935.326892309018</v>
      </c>
      <c r="AG34" s="184">
        <f t="shared" si="15"/>
        <v>530747.71700375108</v>
      </c>
      <c r="AH34" s="184">
        <f t="shared" si="16"/>
        <v>0</v>
      </c>
      <c r="AI34" s="184">
        <f t="shared" si="17"/>
        <v>2096715.3313919764</v>
      </c>
      <c r="AJ34" s="184">
        <f>IF('Expenses by Building'!$O$4=B34,'Expenses by Building'!$O$30,0)</f>
        <v>0</v>
      </c>
      <c r="AK34" s="182">
        <f t="shared" si="18"/>
        <v>1318511.1258670148</v>
      </c>
      <c r="AL34" s="182">
        <f t="shared" si="19"/>
        <v>3394974.8141536117</v>
      </c>
    </row>
    <row r="35" spans="2:38" ht="15.75">
      <c r="B35" s="249" t="s">
        <v>32</v>
      </c>
      <c r="C35" s="250" t="s">
        <v>111</v>
      </c>
      <c r="D35" s="249">
        <v>1972</v>
      </c>
      <c r="E35" s="249">
        <v>1998</v>
      </c>
      <c r="F35" s="251">
        <v>21600</v>
      </c>
      <c r="G35" s="252">
        <v>14322</v>
      </c>
      <c r="H35" s="253">
        <v>0.66310000000000002</v>
      </c>
      <c r="I35" s="254">
        <v>20</v>
      </c>
      <c r="J35" s="254">
        <v>255</v>
      </c>
      <c r="K35" s="255"/>
      <c r="L35" s="255" t="s">
        <v>59</v>
      </c>
      <c r="M35" s="256">
        <f>'FUSION Assessment'!F32</f>
        <v>11091600</v>
      </c>
      <c r="N35" s="247" t="str">
        <f>IFERROR(VLOOKUP($AK$3,'Summary Data'!#REF!,30,0),"")</f>
        <v/>
      </c>
      <c r="O35" s="241" t="e">
        <f>N35*35%</f>
        <v>#VALUE!</v>
      </c>
      <c r="P35" s="257">
        <v>35</v>
      </c>
      <c r="Q35" s="182">
        <f t="shared" si="0"/>
        <v>34674.361005033847</v>
      </c>
      <c r="R35" s="182">
        <f t="shared" si="1"/>
        <v>996.03966942148759</v>
      </c>
      <c r="S35" s="182">
        <f t="shared" si="7"/>
        <v>35670.400674455334</v>
      </c>
      <c r="T35" s="182">
        <f t="shared" si="2"/>
        <v>24100.200703002949</v>
      </c>
      <c r="U35" s="183">
        <f t="shared" si="3"/>
        <v>0</v>
      </c>
      <c r="V35" s="182">
        <f t="shared" si="4"/>
        <v>95207.682830697595</v>
      </c>
      <c r="W35" s="182">
        <f t="shared" si="8"/>
        <v>154978.28420815588</v>
      </c>
      <c r="X35" s="184" t="e">
        <f t="shared" si="5"/>
        <v>#VALUE!</v>
      </c>
      <c r="Y35" s="185" t="e">
        <f>X35*35%</f>
        <v>#VALUE!</v>
      </c>
      <c r="Z35" s="184">
        <f t="shared" si="10"/>
        <v>432956.25635243778</v>
      </c>
      <c r="AA35" s="184">
        <f t="shared" si="22"/>
        <v>12436.901328582278</v>
      </c>
      <c r="AB35" s="184">
        <f t="shared" si="11"/>
        <v>284570.24600869132</v>
      </c>
      <c r="AC35" s="184">
        <f t="shared" si="12"/>
        <v>0</v>
      </c>
      <c r="AD35" s="184">
        <f t="shared" si="13"/>
        <v>1124192.8670607784</v>
      </c>
      <c r="AE35" s="184">
        <f t="shared" si="6"/>
        <v>1048466.867154715</v>
      </c>
      <c r="AF35" s="184">
        <f t="shared" si="14"/>
        <v>30846.55344230956</v>
      </c>
      <c r="AG35" s="184">
        <f t="shared" si="15"/>
        <v>746363.97703652468</v>
      </c>
      <c r="AH35" s="184">
        <f t="shared" si="16"/>
        <v>0</v>
      </c>
      <c r="AI35" s="184">
        <f t="shared" si="17"/>
        <v>2948505.9347699662</v>
      </c>
      <c r="AJ35" s="184">
        <f>IF('Expenses by Building'!$O$4=B35,'Expenses by Building'!$O$30,0)</f>
        <v>0</v>
      </c>
      <c r="AK35" s="182">
        <f t="shared" si="18"/>
        <v>1854156.2707504898</v>
      </c>
      <c r="AL35" s="182">
        <f t="shared" si="19"/>
        <v>4774183.3324035155</v>
      </c>
    </row>
    <row r="36" spans="2:38">
      <c r="B36" s="249" t="s">
        <v>112</v>
      </c>
      <c r="C36" s="250" t="s">
        <v>113</v>
      </c>
      <c r="D36" s="249">
        <v>1996</v>
      </c>
      <c r="E36" s="249">
        <v>1996</v>
      </c>
      <c r="F36" s="251">
        <v>1630</v>
      </c>
      <c r="G36" s="252">
        <v>1105</v>
      </c>
      <c r="H36" s="253">
        <v>0.67789999999999995</v>
      </c>
      <c r="I36" s="254">
        <v>7</v>
      </c>
      <c r="J36" s="254">
        <v>6</v>
      </c>
      <c r="K36" s="255"/>
      <c r="L36" s="255" t="s">
        <v>59</v>
      </c>
      <c r="M36" s="256">
        <f>'FUSION Assessment'!F33</f>
        <v>829246.2</v>
      </c>
      <c r="N36" s="247" t="str">
        <f>IFERROR(VLOOKUP($AK$3,'Summary Data'!#REF!,31,0),"")</f>
        <v/>
      </c>
      <c r="O36" s="241" t="e">
        <f t="shared" si="23"/>
        <v>#VALUE!</v>
      </c>
      <c r="P36" s="249">
        <v>80</v>
      </c>
      <c r="Q36" s="182">
        <f t="shared" si="0"/>
        <v>2616.6300202872762</v>
      </c>
      <c r="R36" s="182">
        <f t="shared" si="1"/>
        <v>75.164104683195589</v>
      </c>
      <c r="S36" s="182">
        <f t="shared" si="7"/>
        <v>2691.7941249704718</v>
      </c>
      <c r="T36" s="182">
        <f t="shared" si="2"/>
        <v>1818.6725530506856</v>
      </c>
      <c r="U36" s="183">
        <f t="shared" si="3"/>
        <v>0</v>
      </c>
      <c r="V36" s="182">
        <f t="shared" si="4"/>
        <v>7184.6538432424568</v>
      </c>
      <c r="W36" s="182">
        <f t="shared" si="8"/>
        <v>11695.120521263614</v>
      </c>
      <c r="X36" s="184" t="e">
        <f t="shared" si="5"/>
        <v>#VALUE!</v>
      </c>
      <c r="Y36" s="185" t="e">
        <f t="shared" si="9"/>
        <v>#VALUE!</v>
      </c>
      <c r="Z36" s="184">
        <f t="shared" si="10"/>
        <v>32672.161937707111</v>
      </c>
      <c r="AA36" s="184">
        <f t="shared" si="22"/>
        <v>938.52542433282952</v>
      </c>
      <c r="AB36" s="184">
        <f t="shared" si="11"/>
        <v>21474.513934915129</v>
      </c>
      <c r="AC36" s="184">
        <f t="shared" si="12"/>
        <v>0</v>
      </c>
      <c r="AD36" s="184">
        <f t="shared" si="13"/>
        <v>84834.924690234664</v>
      </c>
      <c r="AE36" s="184">
        <f t="shared" si="6"/>
        <v>79120.416363990094</v>
      </c>
      <c r="AF36" s="184">
        <f t="shared" si="14"/>
        <v>2327.7723199520647</v>
      </c>
      <c r="AG36" s="184">
        <f t="shared" si="15"/>
        <v>56322.837155997018</v>
      </c>
      <c r="AH36" s="184">
        <f t="shared" si="16"/>
        <v>0</v>
      </c>
      <c r="AI36" s="184">
        <f t="shared" si="17"/>
        <v>222502.99415162252</v>
      </c>
      <c r="AJ36" s="184">
        <f>IF('Expenses by Building'!$O$4=B36,'Expenses by Building'!$O$30,0)</f>
        <v>0</v>
      </c>
      <c r="AK36" s="182">
        <f t="shared" si="18"/>
        <v>139920.12598718973</v>
      </c>
      <c r="AL36" s="182">
        <f t="shared" si="19"/>
        <v>360274.01999156171</v>
      </c>
    </row>
    <row r="37" spans="2:38">
      <c r="B37" s="249" t="s">
        <v>114</v>
      </c>
      <c r="C37" s="250" t="s">
        <v>115</v>
      </c>
      <c r="D37" s="249">
        <v>2009</v>
      </c>
      <c r="E37" s="249"/>
      <c r="F37" s="251">
        <v>14454</v>
      </c>
      <c r="G37" s="252">
        <v>11061</v>
      </c>
      <c r="H37" s="253">
        <v>0.76529999999999998</v>
      </c>
      <c r="I37" s="254">
        <v>26</v>
      </c>
      <c r="J37" s="254">
        <v>36</v>
      </c>
      <c r="K37" s="255"/>
      <c r="L37" s="255" t="s">
        <v>59</v>
      </c>
      <c r="M37" s="256">
        <f>'FUSION Assessment'!F34</f>
        <v>3728409.3</v>
      </c>
      <c r="N37" s="247" t="str">
        <f>IFERROR(VLOOKUP($AK$3,'Summary Data'!#REF!,32,0),"")</f>
        <v/>
      </c>
      <c r="O37" s="241" t="e">
        <f t="shared" si="23"/>
        <v>#VALUE!</v>
      </c>
      <c r="P37" s="249">
        <v>80</v>
      </c>
      <c r="Q37" s="182">
        <f t="shared" si="0"/>
        <v>23202.926572535147</v>
      </c>
      <c r="R37" s="182">
        <f t="shared" si="1"/>
        <v>666.51654545454539</v>
      </c>
      <c r="S37" s="182">
        <f t="shared" si="7"/>
        <v>23869.443117989693</v>
      </c>
      <c r="T37" s="182">
        <f t="shared" si="2"/>
        <v>16127.05097042614</v>
      </c>
      <c r="U37" s="183">
        <f t="shared" si="3"/>
        <v>0</v>
      </c>
      <c r="V37" s="182">
        <f t="shared" si="4"/>
        <v>63709.807760875134</v>
      </c>
      <c r="W37" s="182">
        <f t="shared" si="8"/>
        <v>103706.30184929096</v>
      </c>
      <c r="X37" s="184" t="e">
        <f t="shared" si="5"/>
        <v>#VALUE!</v>
      </c>
      <c r="Y37" s="185" t="e">
        <f t="shared" si="9"/>
        <v>#VALUE!</v>
      </c>
      <c r="Z37" s="184">
        <f t="shared" si="10"/>
        <v>289719.89487583959</v>
      </c>
      <c r="AA37" s="184">
        <f t="shared" si="22"/>
        <v>8322.3598057096406</v>
      </c>
      <c r="AB37" s="184">
        <f t="shared" si="11"/>
        <v>190424.92295414928</v>
      </c>
      <c r="AC37" s="184">
        <f t="shared" si="12"/>
        <v>0</v>
      </c>
      <c r="AD37" s="184">
        <f t="shared" si="13"/>
        <v>752272.39354150393</v>
      </c>
      <c r="AE37" s="184">
        <f t="shared" si="6"/>
        <v>701599.07860436337</v>
      </c>
      <c r="AF37" s="184">
        <f t="shared" si="14"/>
        <v>20641.48534514548</v>
      </c>
      <c r="AG37" s="184">
        <f t="shared" si="15"/>
        <v>499441.89463360788</v>
      </c>
      <c r="AH37" s="184">
        <f t="shared" si="16"/>
        <v>0</v>
      </c>
      <c r="AI37" s="184">
        <f t="shared" si="17"/>
        <v>1973041.8880169024</v>
      </c>
      <c r="AJ37" s="184">
        <f>IF('Expenses by Building'!$O$4=B37,'Expenses by Building'!$O$30,0)</f>
        <v>0</v>
      </c>
      <c r="AK37" s="182">
        <f t="shared" si="18"/>
        <v>1240739.5711772023</v>
      </c>
      <c r="AL37" s="182">
        <f t="shared" si="19"/>
        <v>3194724.3466000194</v>
      </c>
    </row>
    <row r="38" spans="2:38">
      <c r="B38" s="249">
        <v>900</v>
      </c>
      <c r="C38" s="250" t="s">
        <v>116</v>
      </c>
      <c r="D38" s="249">
        <v>2013</v>
      </c>
      <c r="E38" s="249"/>
      <c r="F38" s="263">
        <v>944</v>
      </c>
      <c r="G38" s="250">
        <v>90</v>
      </c>
      <c r="H38" s="253">
        <v>9.5299999999999996E-2</v>
      </c>
      <c r="I38" s="254">
        <v>1</v>
      </c>
      <c r="J38" s="254">
        <v>0</v>
      </c>
      <c r="K38" s="255"/>
      <c r="L38" s="255" t="s">
        <v>59</v>
      </c>
      <c r="M38" s="256">
        <f>'FUSION Assessment'!F35</f>
        <v>358559.52</v>
      </c>
      <c r="N38" s="247" t="str">
        <f>IFERROR(VLOOKUP($AK$3,'Summary Data'!#REF!,33,0),"")</f>
        <v/>
      </c>
      <c r="O38" s="241" t="e">
        <f t="shared" si="23"/>
        <v>#VALUE!</v>
      </c>
      <c r="P38" s="249">
        <v>80</v>
      </c>
      <c r="Q38" s="182">
        <f t="shared" si="0"/>
        <v>1515.3979994792569</v>
      </c>
      <c r="R38" s="182">
        <f t="shared" si="1"/>
        <v>43.530622589531681</v>
      </c>
      <c r="S38" s="182">
        <f t="shared" si="7"/>
        <v>1558.9286220687886</v>
      </c>
      <c r="T38" s="182">
        <f t="shared" si="2"/>
        <v>1053.2680307238327</v>
      </c>
      <c r="U38" s="183">
        <f t="shared" si="3"/>
        <v>0</v>
      </c>
      <c r="V38" s="182">
        <f t="shared" si="4"/>
        <v>4160.9283607490061</v>
      </c>
      <c r="W38" s="182">
        <f t="shared" si="8"/>
        <v>6773.1250135416276</v>
      </c>
      <c r="X38" s="184" t="e">
        <f t="shared" si="5"/>
        <v>#VALUE!</v>
      </c>
      <c r="Y38" s="185" t="e">
        <f t="shared" si="9"/>
        <v>#VALUE!</v>
      </c>
      <c r="Z38" s="184">
        <f t="shared" si="10"/>
        <v>18921.791944291723</v>
      </c>
      <c r="AA38" s="184">
        <f t="shared" si="22"/>
        <v>543.53865065655884</v>
      </c>
      <c r="AB38" s="184">
        <f t="shared" si="11"/>
        <v>12436.773714453915</v>
      </c>
      <c r="AC38" s="184">
        <f t="shared" si="12"/>
        <v>0</v>
      </c>
      <c r="AD38" s="184">
        <f t="shared" si="13"/>
        <v>49131.391967841417</v>
      </c>
      <c r="AE38" s="184">
        <f t="shared" si="6"/>
        <v>45821.88530528015</v>
      </c>
      <c r="AF38" s="184">
        <f t="shared" si="14"/>
        <v>1348.1086319231588</v>
      </c>
      <c r="AG38" s="184">
        <f t="shared" si="15"/>
        <v>32618.870107522202</v>
      </c>
      <c r="AH38" s="184">
        <f t="shared" si="16"/>
        <v>0</v>
      </c>
      <c r="AI38" s="184">
        <f t="shared" si="17"/>
        <v>128860.62974179856</v>
      </c>
      <c r="AJ38" s="184">
        <f>IF('Expenses by Building'!$O$4=B38,'Expenses by Building'!$O$30,0)</f>
        <v>0</v>
      </c>
      <c r="AK38" s="182">
        <f t="shared" si="18"/>
        <v>81033.496277243612</v>
      </c>
      <c r="AL38" s="182">
        <f t="shared" si="19"/>
        <v>208649.49378652408</v>
      </c>
    </row>
    <row r="39" spans="2:38">
      <c r="B39" s="249">
        <v>910</v>
      </c>
      <c r="C39" s="250" t="s">
        <v>117</v>
      </c>
      <c r="D39" s="249">
        <v>2013</v>
      </c>
      <c r="E39" s="249"/>
      <c r="F39" s="263">
        <v>944</v>
      </c>
      <c r="G39" s="250">
        <v>64</v>
      </c>
      <c r="H39" s="253">
        <v>6.7799999999999999E-2</v>
      </c>
      <c r="I39" s="254">
        <v>1</v>
      </c>
      <c r="J39" s="254">
        <v>0</v>
      </c>
      <c r="K39" s="255"/>
      <c r="L39" s="255" t="s">
        <v>59</v>
      </c>
      <c r="M39" s="256">
        <f>'FUSION Assessment'!F36</f>
        <v>358559.52</v>
      </c>
      <c r="N39" s="247" t="str">
        <f>IFERROR(VLOOKUP($AK$3,'Summary Data'!#REF!,34,0),"")</f>
        <v/>
      </c>
      <c r="O39" s="241" t="e">
        <f t="shared" si="23"/>
        <v>#VALUE!</v>
      </c>
      <c r="P39" s="249">
        <v>80</v>
      </c>
      <c r="Q39" s="182">
        <f t="shared" si="0"/>
        <v>1515.3979994792569</v>
      </c>
      <c r="R39" s="182">
        <f t="shared" si="1"/>
        <v>43.530622589531681</v>
      </c>
      <c r="S39" s="182">
        <f t="shared" si="7"/>
        <v>1558.9286220687886</v>
      </c>
      <c r="T39" s="182">
        <f t="shared" si="2"/>
        <v>1053.2680307238327</v>
      </c>
      <c r="U39" s="183">
        <f t="shared" si="3"/>
        <v>0</v>
      </c>
      <c r="V39" s="182">
        <f t="shared" si="4"/>
        <v>4160.9283607490061</v>
      </c>
      <c r="W39" s="182">
        <f t="shared" si="8"/>
        <v>6773.1250135416276</v>
      </c>
      <c r="X39" s="184" t="e">
        <f t="shared" si="5"/>
        <v>#VALUE!</v>
      </c>
      <c r="Y39" s="185" t="e">
        <f t="shared" si="9"/>
        <v>#VALUE!</v>
      </c>
      <c r="Z39" s="184">
        <f t="shared" si="10"/>
        <v>18921.791944291723</v>
      </c>
      <c r="AA39" s="184">
        <f t="shared" si="22"/>
        <v>543.53865065655884</v>
      </c>
      <c r="AB39" s="184">
        <f t="shared" si="11"/>
        <v>12436.773714453915</v>
      </c>
      <c r="AC39" s="184">
        <f t="shared" si="12"/>
        <v>0</v>
      </c>
      <c r="AD39" s="184">
        <f t="shared" si="13"/>
        <v>49131.391967841417</v>
      </c>
      <c r="AE39" s="184">
        <f t="shared" si="6"/>
        <v>45821.88530528015</v>
      </c>
      <c r="AF39" s="184">
        <f t="shared" si="14"/>
        <v>1348.1086319231588</v>
      </c>
      <c r="AG39" s="184">
        <f t="shared" si="15"/>
        <v>32618.870107522202</v>
      </c>
      <c r="AH39" s="184">
        <f t="shared" si="16"/>
        <v>0</v>
      </c>
      <c r="AI39" s="184">
        <f t="shared" si="17"/>
        <v>128860.62974179856</v>
      </c>
      <c r="AJ39" s="184">
        <f>IF('Expenses by Building'!$O$4=B39,'Expenses by Building'!$O$30,0)</f>
        <v>0</v>
      </c>
      <c r="AK39" s="182">
        <f t="shared" si="18"/>
        <v>81033.496277243612</v>
      </c>
      <c r="AL39" s="182">
        <f t="shared" si="19"/>
        <v>208649.49378652408</v>
      </c>
    </row>
    <row r="40" spans="2:38">
      <c r="B40" s="249">
        <v>920</v>
      </c>
      <c r="C40" s="250" t="s">
        <v>118</v>
      </c>
      <c r="D40" s="249">
        <v>2013</v>
      </c>
      <c r="E40" s="249"/>
      <c r="F40" s="251">
        <v>1000</v>
      </c>
      <c r="G40" s="250">
        <v>930</v>
      </c>
      <c r="H40" s="253">
        <v>0.93</v>
      </c>
      <c r="I40" s="254">
        <v>1</v>
      </c>
      <c r="J40" s="254">
        <v>0</v>
      </c>
      <c r="K40" s="255"/>
      <c r="L40" s="255" t="s">
        <v>59</v>
      </c>
      <c r="M40" s="256">
        <f>'FUSION Assessment'!F37</f>
        <v>251970</v>
      </c>
      <c r="N40" s="247" t="str">
        <f>IFERROR(VLOOKUP($AK$3,'Summary Data'!#REF!,35,0),"")</f>
        <v/>
      </c>
      <c r="O40" s="241" t="e">
        <f t="shared" si="23"/>
        <v>#VALUE!</v>
      </c>
      <c r="P40" s="249">
        <v>80</v>
      </c>
      <c r="Q40" s="182">
        <f t="shared" si="0"/>
        <v>1605.2944909737892</v>
      </c>
      <c r="R40" s="182">
        <f t="shared" si="1"/>
        <v>46.112947658402199</v>
      </c>
      <c r="S40" s="182">
        <f t="shared" si="7"/>
        <v>1651.4074386321913</v>
      </c>
      <c r="T40" s="182">
        <f t="shared" si="2"/>
        <v>1115.750032546433</v>
      </c>
      <c r="U40" s="183">
        <f t="shared" si="3"/>
        <v>0</v>
      </c>
      <c r="V40" s="182">
        <f t="shared" si="4"/>
        <v>4407.7630940137769</v>
      </c>
      <c r="W40" s="182">
        <f t="shared" si="8"/>
        <v>7174.9205651924012</v>
      </c>
      <c r="X40" s="184" t="e">
        <f t="shared" si="5"/>
        <v>#VALUE!</v>
      </c>
      <c r="Y40" s="185" t="e">
        <f t="shared" si="9"/>
        <v>#VALUE!</v>
      </c>
      <c r="Z40" s="184">
        <f t="shared" si="10"/>
        <v>20044.271127427677</v>
      </c>
      <c r="AA40" s="184">
        <f t="shared" si="22"/>
        <v>575.78246891584615</v>
      </c>
      <c r="AB40" s="184">
        <f t="shared" si="11"/>
        <v>13174.548426328303</v>
      </c>
      <c r="AC40" s="184">
        <f t="shared" si="12"/>
        <v>0</v>
      </c>
      <c r="AD40" s="184">
        <f t="shared" si="13"/>
        <v>52045.966067628608</v>
      </c>
      <c r="AE40" s="184">
        <f t="shared" si="6"/>
        <v>48540.132738644235</v>
      </c>
      <c r="AF40" s="184">
        <f t="shared" si="14"/>
        <v>1428.0811778847019</v>
      </c>
      <c r="AG40" s="184">
        <f t="shared" si="15"/>
        <v>34553.88782576505</v>
      </c>
      <c r="AH40" s="184">
        <f t="shared" si="16"/>
        <v>0</v>
      </c>
      <c r="AI40" s="184">
        <f t="shared" si="17"/>
        <v>136504.90438749845</v>
      </c>
      <c r="AJ40" s="184">
        <f>IF('Expenses by Building'!$O$4=B40,'Expenses by Building'!$O$30,0)</f>
        <v>0</v>
      </c>
      <c r="AK40" s="182">
        <f t="shared" si="18"/>
        <v>85840.568090300425</v>
      </c>
      <c r="AL40" s="182">
        <f t="shared" si="19"/>
        <v>221027.00612979243</v>
      </c>
    </row>
    <row r="41" spans="2:38">
      <c r="B41" s="249">
        <v>930</v>
      </c>
      <c r="C41" s="250" t="s">
        <v>119</v>
      </c>
      <c r="D41" s="249">
        <v>2013</v>
      </c>
      <c r="E41" s="249"/>
      <c r="F41" s="251">
        <v>1000</v>
      </c>
      <c r="G41" s="250">
        <v>913</v>
      </c>
      <c r="H41" s="253">
        <v>0.91300000000000003</v>
      </c>
      <c r="I41" s="254">
        <v>1</v>
      </c>
      <c r="J41" s="254">
        <v>0</v>
      </c>
      <c r="K41" s="255"/>
      <c r="L41" s="255" t="s">
        <v>59</v>
      </c>
      <c r="M41" s="256">
        <f>'FUSION Assessment'!F38</f>
        <v>251970</v>
      </c>
      <c r="N41" s="247" t="str">
        <f>IFERROR(VLOOKUP($AK$3,'Summary Data'!#REF!,36,0),"")</f>
        <v/>
      </c>
      <c r="O41" s="241" t="e">
        <f t="shared" si="23"/>
        <v>#VALUE!</v>
      </c>
      <c r="P41" s="249">
        <v>80</v>
      </c>
      <c r="Q41" s="182">
        <f t="shared" si="0"/>
        <v>1605.2944909737892</v>
      </c>
      <c r="R41" s="182">
        <f t="shared" si="1"/>
        <v>46.112947658402199</v>
      </c>
      <c r="S41" s="182">
        <f t="shared" si="7"/>
        <v>1651.4074386321913</v>
      </c>
      <c r="T41" s="182">
        <f t="shared" si="2"/>
        <v>1115.750032546433</v>
      </c>
      <c r="U41" s="183">
        <f t="shared" si="3"/>
        <v>0</v>
      </c>
      <c r="V41" s="182">
        <f t="shared" si="4"/>
        <v>4407.7630940137769</v>
      </c>
      <c r="W41" s="182">
        <f t="shared" si="8"/>
        <v>7174.9205651924012</v>
      </c>
      <c r="X41" s="184" t="e">
        <f t="shared" si="5"/>
        <v>#VALUE!</v>
      </c>
      <c r="Y41" s="185" t="e">
        <f t="shared" si="9"/>
        <v>#VALUE!</v>
      </c>
      <c r="Z41" s="184">
        <f t="shared" si="10"/>
        <v>20044.271127427677</v>
      </c>
      <c r="AA41" s="184">
        <f t="shared" si="22"/>
        <v>575.78246891584615</v>
      </c>
      <c r="AB41" s="184">
        <f t="shared" si="11"/>
        <v>13174.548426328303</v>
      </c>
      <c r="AC41" s="184">
        <f t="shared" si="12"/>
        <v>0</v>
      </c>
      <c r="AD41" s="184">
        <f t="shared" si="13"/>
        <v>52045.966067628608</v>
      </c>
      <c r="AE41" s="184">
        <f t="shared" si="6"/>
        <v>48540.132738644235</v>
      </c>
      <c r="AF41" s="184">
        <f t="shared" si="14"/>
        <v>1428.0811778847019</v>
      </c>
      <c r="AG41" s="184">
        <f t="shared" si="15"/>
        <v>34553.88782576505</v>
      </c>
      <c r="AH41" s="184">
        <f t="shared" si="16"/>
        <v>0</v>
      </c>
      <c r="AI41" s="184">
        <f t="shared" si="17"/>
        <v>136504.90438749845</v>
      </c>
      <c r="AJ41" s="184">
        <f>IF('Expenses by Building'!$O$4=B41,'Expenses by Building'!$O$30,0)</f>
        <v>0</v>
      </c>
      <c r="AK41" s="182">
        <f t="shared" si="18"/>
        <v>85840.568090300425</v>
      </c>
      <c r="AL41" s="182">
        <f t="shared" si="19"/>
        <v>221027.00612979243</v>
      </c>
    </row>
    <row r="42" spans="2:38">
      <c r="B42" s="249">
        <v>940</v>
      </c>
      <c r="C42" s="250" t="s">
        <v>116</v>
      </c>
      <c r="D42" s="249">
        <v>2013</v>
      </c>
      <c r="E42" s="249"/>
      <c r="F42" s="263">
        <v>578</v>
      </c>
      <c r="G42" s="250">
        <v>56</v>
      </c>
      <c r="H42" s="253">
        <v>9.69E-2</v>
      </c>
      <c r="I42" s="254">
        <v>1</v>
      </c>
      <c r="J42" s="254">
        <v>0</v>
      </c>
      <c r="K42" s="255"/>
      <c r="L42" s="255" t="s">
        <v>59</v>
      </c>
      <c r="M42" s="256">
        <f>'FUSION Assessment'!F39</f>
        <v>219541.74</v>
      </c>
      <c r="N42" s="247" t="str">
        <f>IFERROR(VLOOKUP($AK$3,'Summary Data'!#REF!,37,0),"")</f>
        <v/>
      </c>
      <c r="O42" s="241" t="e">
        <f t="shared" si="23"/>
        <v>#VALUE!</v>
      </c>
      <c r="P42" s="249">
        <v>80</v>
      </c>
      <c r="Q42" s="182">
        <f t="shared" si="0"/>
        <v>927.8602157828501</v>
      </c>
      <c r="R42" s="182">
        <f t="shared" si="1"/>
        <v>26.653283746556472</v>
      </c>
      <c r="S42" s="182">
        <f t="shared" si="7"/>
        <v>954.51349952940654</v>
      </c>
      <c r="T42" s="182">
        <f t="shared" si="2"/>
        <v>644.90351881183824</v>
      </c>
      <c r="U42" s="183">
        <f t="shared" si="3"/>
        <v>0</v>
      </c>
      <c r="V42" s="182">
        <f t="shared" si="4"/>
        <v>2547.6870683399634</v>
      </c>
      <c r="W42" s="182">
        <f t="shared" si="8"/>
        <v>4147.1040866812082</v>
      </c>
      <c r="X42" s="184" t="e">
        <f t="shared" si="5"/>
        <v>#VALUE!</v>
      </c>
      <c r="Y42" s="185" t="e">
        <f t="shared" si="9"/>
        <v>#VALUE!</v>
      </c>
      <c r="Z42" s="184">
        <f t="shared" si="10"/>
        <v>11585.588711653196</v>
      </c>
      <c r="AA42" s="184">
        <f t="shared" si="22"/>
        <v>332.8022670333591</v>
      </c>
      <c r="AB42" s="184">
        <f t="shared" si="11"/>
        <v>7614.8889904177577</v>
      </c>
      <c r="AC42" s="184">
        <f t="shared" si="12"/>
        <v>0</v>
      </c>
      <c r="AD42" s="184">
        <f t="shared" si="13"/>
        <v>30082.568387089341</v>
      </c>
      <c r="AE42" s="184">
        <f t="shared" si="6"/>
        <v>28056.196722936358</v>
      </c>
      <c r="AF42" s="184">
        <f t="shared" si="14"/>
        <v>825.43092081735779</v>
      </c>
      <c r="AG42" s="184">
        <f t="shared" si="15"/>
        <v>19972.147163292197</v>
      </c>
      <c r="AH42" s="184">
        <f t="shared" si="16"/>
        <v>0</v>
      </c>
      <c r="AI42" s="184">
        <f t="shared" si="17"/>
        <v>78899.834735974102</v>
      </c>
      <c r="AJ42" s="184">
        <f>IF('Expenses by Building'!$O$4=B42,'Expenses by Building'!$O$30,0)</f>
        <v>0</v>
      </c>
      <c r="AK42" s="182">
        <f t="shared" si="18"/>
        <v>49615.848356193652</v>
      </c>
      <c r="AL42" s="182">
        <f t="shared" si="19"/>
        <v>127753.60954302002</v>
      </c>
    </row>
    <row r="43" spans="2:38">
      <c r="B43" s="249">
        <v>950</v>
      </c>
      <c r="C43" s="250" t="s">
        <v>120</v>
      </c>
      <c r="D43" s="249">
        <v>2018</v>
      </c>
      <c r="E43" s="249"/>
      <c r="F43" s="251">
        <v>2727</v>
      </c>
      <c r="G43" s="252">
        <v>1200</v>
      </c>
      <c r="H43" s="253">
        <v>0.59789999999999999</v>
      </c>
      <c r="I43" s="254">
        <v>3</v>
      </c>
      <c r="J43" s="254">
        <v>0</v>
      </c>
      <c r="K43" s="255"/>
      <c r="L43" s="255" t="s">
        <v>59</v>
      </c>
      <c r="M43" s="256">
        <f>'FUSION Assessment'!F40</f>
        <v>1007052</v>
      </c>
      <c r="N43" s="247" t="str">
        <f>IFERROR(VLOOKUP($AK$3,'Summary Data'!#REF!,38,0),"")</f>
        <v/>
      </c>
      <c r="O43" s="241" t="e">
        <f t="shared" si="23"/>
        <v>#VALUE!</v>
      </c>
      <c r="P43" s="249">
        <v>80</v>
      </c>
      <c r="Q43" s="182">
        <f t="shared" si="0"/>
        <v>4377.6380768855233</v>
      </c>
      <c r="R43" s="182">
        <f t="shared" si="1"/>
        <v>125.75000826446281</v>
      </c>
      <c r="S43" s="182">
        <f t="shared" si="7"/>
        <v>4503.3880851499862</v>
      </c>
      <c r="T43" s="182">
        <f t="shared" si="2"/>
        <v>3042.6503387541225</v>
      </c>
      <c r="U43" s="183">
        <f t="shared" si="3"/>
        <v>0</v>
      </c>
      <c r="V43" s="182">
        <f t="shared" si="4"/>
        <v>12019.969957375572</v>
      </c>
      <c r="W43" s="182">
        <f t="shared" si="8"/>
        <v>19566.00838127968</v>
      </c>
      <c r="X43" s="184" t="e">
        <f t="shared" si="5"/>
        <v>#VALUE!</v>
      </c>
      <c r="Y43" s="185" t="e">
        <f t="shared" si="9"/>
        <v>#VALUE!</v>
      </c>
      <c r="Z43" s="184">
        <f t="shared" si="10"/>
        <v>54660.72736449528</v>
      </c>
      <c r="AA43" s="184">
        <f t="shared" si="22"/>
        <v>1570.1587927335127</v>
      </c>
      <c r="AB43" s="184">
        <f t="shared" si="11"/>
        <v>35926.993558597278</v>
      </c>
      <c r="AC43" s="184">
        <f t="shared" si="12"/>
        <v>0</v>
      </c>
      <c r="AD43" s="184">
        <f t="shared" si="13"/>
        <v>141929.34946642324</v>
      </c>
      <c r="AE43" s="184">
        <f t="shared" si="6"/>
        <v>132368.94197828282</v>
      </c>
      <c r="AF43" s="184">
        <f t="shared" si="14"/>
        <v>3894.3773720915824</v>
      </c>
      <c r="AG43" s="184">
        <f t="shared" si="15"/>
        <v>94228.452100861279</v>
      </c>
      <c r="AH43" s="184">
        <f t="shared" si="16"/>
        <v>0</v>
      </c>
      <c r="AI43" s="184">
        <f t="shared" si="17"/>
        <v>372248.87426470831</v>
      </c>
      <c r="AJ43" s="184">
        <f>IF('Expenses by Building'!$O$4=B43,'Expenses by Building'!$O$30,0)</f>
        <v>0</v>
      </c>
      <c r="AK43" s="182">
        <f t="shared" si="18"/>
        <v>234087.22918224931</v>
      </c>
      <c r="AL43" s="182">
        <f t="shared" si="19"/>
        <v>602740.645715944</v>
      </c>
    </row>
    <row r="44" spans="2:38">
      <c r="B44" s="249">
        <v>960</v>
      </c>
      <c r="C44" s="250" t="s">
        <v>121</v>
      </c>
      <c r="D44" s="249">
        <v>2006</v>
      </c>
      <c r="E44" s="249"/>
      <c r="F44" s="263">
        <v>539</v>
      </c>
      <c r="G44" s="250">
        <v>218</v>
      </c>
      <c r="H44" s="253">
        <v>0.33210000000000001</v>
      </c>
      <c r="I44" s="254">
        <v>1</v>
      </c>
      <c r="J44" s="254">
        <v>0</v>
      </c>
      <c r="K44" s="255"/>
      <c r="L44" s="255" t="s">
        <v>59</v>
      </c>
      <c r="M44" s="256">
        <f>'FUSION Assessment'!F41</f>
        <v>229417.32</v>
      </c>
      <c r="N44" s="247" t="str">
        <f>IFERROR(VLOOKUP($AK$3,'Summary Data'!#REF!,39,0),"")</f>
        <v/>
      </c>
      <c r="O44" s="241" t="e">
        <f t="shared" si="23"/>
        <v>#VALUE!</v>
      </c>
      <c r="P44" s="249">
        <v>80</v>
      </c>
      <c r="Q44" s="182">
        <f t="shared" si="0"/>
        <v>865.25373063487234</v>
      </c>
      <c r="R44" s="182">
        <f t="shared" si="1"/>
        <v>24.854878787878786</v>
      </c>
      <c r="S44" s="182">
        <f t="shared" si="7"/>
        <v>890.1086094227511</v>
      </c>
      <c r="T44" s="182">
        <f t="shared" si="2"/>
        <v>601.38926754252736</v>
      </c>
      <c r="U44" s="183">
        <f t="shared" si="3"/>
        <v>0</v>
      </c>
      <c r="V44" s="182">
        <f t="shared" si="4"/>
        <v>2375.7843076734262</v>
      </c>
      <c r="W44" s="182">
        <f t="shared" si="8"/>
        <v>3867.2821846387046</v>
      </c>
      <c r="X44" s="184" t="e">
        <f t="shared" si="5"/>
        <v>#VALUE!</v>
      </c>
      <c r="Y44" s="185" t="e">
        <f t="shared" si="9"/>
        <v>#VALUE!</v>
      </c>
      <c r="Z44" s="184">
        <f t="shared" si="10"/>
        <v>10803.862137683514</v>
      </c>
      <c r="AA44" s="184">
        <f t="shared" si="22"/>
        <v>310.34675074564109</v>
      </c>
      <c r="AB44" s="184">
        <f t="shared" si="11"/>
        <v>7101.0816017909556</v>
      </c>
      <c r="AC44" s="184">
        <f t="shared" si="12"/>
        <v>0</v>
      </c>
      <c r="AD44" s="184">
        <f t="shared" si="13"/>
        <v>28052.775710451828</v>
      </c>
      <c r="AE44" s="184">
        <f t="shared" si="6"/>
        <v>26163.131546129232</v>
      </c>
      <c r="AF44" s="184">
        <f t="shared" si="14"/>
        <v>769.73575487985431</v>
      </c>
      <c r="AG44" s="184">
        <f t="shared" si="15"/>
        <v>18624.545538087361</v>
      </c>
      <c r="AH44" s="184">
        <f t="shared" si="16"/>
        <v>0</v>
      </c>
      <c r="AI44" s="184">
        <f t="shared" si="17"/>
        <v>73576.143464861671</v>
      </c>
      <c r="AJ44" s="184">
        <f>IF('Expenses by Building'!$O$4=B44,'Expenses by Building'!$O$30,0)</f>
        <v>0</v>
      </c>
      <c r="AK44" s="182">
        <f t="shared" si="18"/>
        <v>46268.066200671936</v>
      </c>
      <c r="AL44" s="182">
        <f t="shared" si="19"/>
        <v>119133.55630395812</v>
      </c>
    </row>
    <row r="45" spans="2:38">
      <c r="B45" s="264">
        <v>972</v>
      </c>
      <c r="C45" s="250" t="s">
        <v>122</v>
      </c>
      <c r="D45" s="249">
        <v>2013</v>
      </c>
      <c r="E45" s="249"/>
      <c r="F45" s="251">
        <v>2000</v>
      </c>
      <c r="G45" s="252">
        <v>1965</v>
      </c>
      <c r="H45" s="253">
        <v>0.98250000000000004</v>
      </c>
      <c r="I45" s="254">
        <v>1</v>
      </c>
      <c r="J45" s="254">
        <v>0</v>
      </c>
      <c r="K45" s="255"/>
      <c r="L45" s="255" t="s">
        <v>59</v>
      </c>
      <c r="M45" s="256">
        <f>'FUSION Assessment'!F42</f>
        <v>759660</v>
      </c>
      <c r="N45" s="247" t="str">
        <f>IFERROR(VLOOKUP($AK$3,'Summary Data'!#REF!,40,0),"")</f>
        <v/>
      </c>
      <c r="O45" s="241" t="e">
        <f t="shared" si="23"/>
        <v>#VALUE!</v>
      </c>
      <c r="P45" s="249">
        <v>80</v>
      </c>
      <c r="Q45" s="182">
        <f t="shared" si="0"/>
        <v>3210.5889819475783</v>
      </c>
      <c r="R45" s="182">
        <f t="shared" si="1"/>
        <v>92.225895316804397</v>
      </c>
      <c r="S45" s="182">
        <f t="shared" si="7"/>
        <v>3302.8148772643826</v>
      </c>
      <c r="T45" s="182">
        <f t="shared" si="2"/>
        <v>2231.500065092866</v>
      </c>
      <c r="U45" s="183">
        <f t="shared" si="3"/>
        <v>0</v>
      </c>
      <c r="V45" s="182">
        <f t="shared" si="4"/>
        <v>8815.5261880275539</v>
      </c>
      <c r="W45" s="182">
        <f t="shared" si="8"/>
        <v>14349.841130384802</v>
      </c>
      <c r="X45" s="184" t="e">
        <f t="shared" si="5"/>
        <v>#VALUE!</v>
      </c>
      <c r="Y45" s="185" t="e">
        <f t="shared" si="9"/>
        <v>#VALUE!</v>
      </c>
      <c r="Z45" s="184">
        <f t="shared" si="10"/>
        <v>40088.542254855354</v>
      </c>
      <c r="AA45" s="184">
        <f t="shared" si="22"/>
        <v>1151.5649378316923</v>
      </c>
      <c r="AB45" s="184">
        <f t="shared" si="11"/>
        <v>26349.096852656607</v>
      </c>
      <c r="AC45" s="184">
        <f t="shared" si="12"/>
        <v>0</v>
      </c>
      <c r="AD45" s="184">
        <f t="shared" si="13"/>
        <v>104091.93213525722</v>
      </c>
      <c r="AE45" s="184">
        <f t="shared" si="6"/>
        <v>97080.265477288471</v>
      </c>
      <c r="AF45" s="184">
        <f t="shared" si="14"/>
        <v>2856.1623557694038</v>
      </c>
      <c r="AG45" s="184">
        <f t="shared" si="15"/>
        <v>69107.775651530101</v>
      </c>
      <c r="AH45" s="184">
        <f t="shared" si="16"/>
        <v>0</v>
      </c>
      <c r="AI45" s="184">
        <f t="shared" si="17"/>
        <v>273009.8087749969</v>
      </c>
      <c r="AJ45" s="184">
        <f>IF('Expenses by Building'!$O$4=B45,'Expenses by Building'!$O$30,0)</f>
        <v>0</v>
      </c>
      <c r="AK45" s="182">
        <f t="shared" si="18"/>
        <v>171681.13618060085</v>
      </c>
      <c r="AL45" s="182">
        <f t="shared" si="19"/>
        <v>442054.01225958485</v>
      </c>
    </row>
    <row r="46" spans="2:38">
      <c r="B46" s="264">
        <v>973</v>
      </c>
      <c r="C46" s="250" t="s">
        <v>123</v>
      </c>
      <c r="D46" s="249">
        <v>1947</v>
      </c>
      <c r="E46" s="249"/>
      <c r="F46" s="251">
        <v>1000</v>
      </c>
      <c r="G46" s="252">
        <v>627</v>
      </c>
      <c r="H46" s="253">
        <v>0.627</v>
      </c>
      <c r="I46" s="254">
        <v>2</v>
      </c>
      <c r="J46" s="254">
        <v>0</v>
      </c>
      <c r="K46" s="255"/>
      <c r="L46" s="255" t="s">
        <v>59</v>
      </c>
      <c r="M46" s="256">
        <f>'FUSION Assessment'!F43</f>
        <v>839210</v>
      </c>
      <c r="N46" s="247" t="str">
        <f>IFERROR(VLOOKUP($AK$3,'Summary Data'!#REF!,41,0),"")</f>
        <v/>
      </c>
      <c r="O46" s="241" t="e">
        <f t="shared" si="23"/>
        <v>#VALUE!</v>
      </c>
      <c r="P46" s="249">
        <v>80</v>
      </c>
      <c r="Q46" s="182">
        <f t="shared" si="0"/>
        <v>1605.2944909737892</v>
      </c>
      <c r="R46" s="182">
        <f t="shared" si="1"/>
        <v>46.112947658402199</v>
      </c>
      <c r="S46" s="182">
        <f t="shared" si="7"/>
        <v>1651.4074386321913</v>
      </c>
      <c r="T46" s="182">
        <f t="shared" si="2"/>
        <v>1115.750032546433</v>
      </c>
      <c r="U46" s="183">
        <f t="shared" si="3"/>
        <v>0</v>
      </c>
      <c r="V46" s="182">
        <f t="shared" si="4"/>
        <v>4407.7630940137769</v>
      </c>
      <c r="W46" s="182">
        <f t="shared" si="8"/>
        <v>7174.9205651924012</v>
      </c>
      <c r="X46" s="184" t="e">
        <f t="shared" si="5"/>
        <v>#VALUE!</v>
      </c>
      <c r="Y46" s="185" t="e">
        <f t="shared" si="9"/>
        <v>#VALUE!</v>
      </c>
      <c r="Z46" s="184">
        <f t="shared" si="10"/>
        <v>20044.271127427677</v>
      </c>
      <c r="AA46" s="184">
        <f t="shared" si="22"/>
        <v>575.78246891584615</v>
      </c>
      <c r="AB46" s="184">
        <f t="shared" si="11"/>
        <v>13174.548426328303</v>
      </c>
      <c r="AC46" s="184">
        <f t="shared" si="12"/>
        <v>0</v>
      </c>
      <c r="AD46" s="184">
        <f t="shared" si="13"/>
        <v>52045.966067628608</v>
      </c>
      <c r="AE46" s="184">
        <f t="shared" si="6"/>
        <v>48540.132738644235</v>
      </c>
      <c r="AF46" s="184">
        <f t="shared" si="14"/>
        <v>1428.0811778847019</v>
      </c>
      <c r="AG46" s="184">
        <f t="shared" si="15"/>
        <v>34553.88782576505</v>
      </c>
      <c r="AH46" s="184">
        <f t="shared" si="16"/>
        <v>0</v>
      </c>
      <c r="AI46" s="184">
        <f t="shared" si="17"/>
        <v>136504.90438749845</v>
      </c>
      <c r="AJ46" s="184">
        <f>IF('Expenses by Building'!$O$4=B46,'Expenses by Building'!$O$30,0)</f>
        <v>0</v>
      </c>
      <c r="AK46" s="182">
        <f t="shared" si="18"/>
        <v>85840.568090300425</v>
      </c>
      <c r="AL46" s="182">
        <f t="shared" si="19"/>
        <v>221027.00612979243</v>
      </c>
    </row>
    <row r="47" spans="2:38">
      <c r="B47" s="265"/>
      <c r="C47" s="265"/>
      <c r="D47" s="265"/>
      <c r="E47" s="266"/>
      <c r="F47" s="267">
        <f>SUM(F7:F46)</f>
        <v>737408</v>
      </c>
      <c r="G47" s="267">
        <f>SUM(G7:G46)</f>
        <v>543798</v>
      </c>
      <c r="H47" s="267"/>
      <c r="I47" s="268"/>
      <c r="J47" s="268"/>
      <c r="K47" s="268"/>
      <c r="L47" s="268"/>
      <c r="M47" s="268"/>
      <c r="N47" s="186"/>
      <c r="O47" s="186"/>
      <c r="P47" s="186"/>
      <c r="Q47" s="266"/>
      <c r="R47" s="186"/>
      <c r="S47" s="186"/>
      <c r="T47" s="186"/>
      <c r="U47" s="428" t="s">
        <v>124</v>
      </c>
      <c r="V47" s="428"/>
      <c r="W47" s="187">
        <f>SUM(W7:W46)</f>
        <v>5290843.8241374018</v>
      </c>
      <c r="X47" s="188">
        <f>N47*((1+5%)/1)^(50*1)</f>
        <v>0</v>
      </c>
      <c r="Y47" s="188">
        <f t="shared" si="9"/>
        <v>0</v>
      </c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9">
        <f>SUM(AK7:AK46)</f>
        <v>63299521.634332269</v>
      </c>
      <c r="AL47" s="189">
        <f>SUM(AL7:AL46)</f>
        <v>162987082.53615794</v>
      </c>
    </row>
    <row r="48" spans="2:38" ht="15.75" thickBot="1">
      <c r="E48" s="39"/>
    </row>
    <row r="49" spans="2:38" ht="31.5" customHeight="1">
      <c r="B49" s="283" t="s">
        <v>316</v>
      </c>
      <c r="C49" s="284"/>
      <c r="D49" s="285"/>
      <c r="E49" s="286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8"/>
    </row>
    <row r="50" spans="2:38">
      <c r="B50" s="404" t="s">
        <v>279</v>
      </c>
      <c r="C50" s="405"/>
      <c r="D50" s="291"/>
      <c r="E50" s="292"/>
      <c r="F50" s="291"/>
      <c r="G50" s="291"/>
      <c r="H50" s="434" t="s">
        <v>270</v>
      </c>
      <c r="I50" s="434"/>
      <c r="J50" s="434"/>
      <c r="K50" s="434"/>
      <c r="L50" s="434"/>
      <c r="M50" s="434"/>
      <c r="N50" s="434"/>
      <c r="O50" s="434"/>
      <c r="P50" s="434"/>
      <c r="Q50" s="434"/>
      <c r="R50" s="434"/>
      <c r="S50" s="434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4"/>
    </row>
    <row r="51" spans="2:38">
      <c r="B51" s="289" t="s">
        <v>317</v>
      </c>
      <c r="C51" s="290"/>
      <c r="D51" s="291"/>
      <c r="E51" s="290"/>
      <c r="F51" s="290"/>
      <c r="G51" s="295"/>
      <c r="H51" s="432">
        <f>'Summary Data'!$F$35</f>
        <v>1.6052944909737892</v>
      </c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293"/>
      <c r="U51" s="293"/>
      <c r="V51" s="293"/>
      <c r="W51" s="293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3"/>
      <c r="AL51" s="294"/>
    </row>
    <row r="52" spans="2:38">
      <c r="B52" s="289" t="s">
        <v>349</v>
      </c>
      <c r="C52" s="290"/>
      <c r="D52" s="290"/>
      <c r="E52" s="291"/>
      <c r="F52" s="295"/>
      <c r="G52" s="295"/>
      <c r="H52" s="432">
        <f>'Summary Data'!$E$29</f>
        <v>4.6112947658402202E-2</v>
      </c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4"/>
    </row>
    <row r="53" spans="2:38" ht="33.75" customHeight="1">
      <c r="B53" s="406" t="s">
        <v>341</v>
      </c>
      <c r="C53" s="407"/>
      <c r="D53" s="407"/>
      <c r="E53" s="407"/>
      <c r="F53" s="407"/>
      <c r="G53" s="407"/>
      <c r="H53" s="432">
        <f>'Summary Data'!$E$38</f>
        <v>1.1157500325464329</v>
      </c>
      <c r="I53" s="432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4"/>
    </row>
    <row r="54" spans="2:38" ht="16.5" customHeight="1">
      <c r="B54" s="297" t="s">
        <v>344</v>
      </c>
      <c r="C54" s="291"/>
      <c r="D54" s="291"/>
      <c r="E54" s="291"/>
      <c r="F54" s="291"/>
      <c r="G54" s="291"/>
      <c r="H54" s="432">
        <f>'Summary Data'!$E$41</f>
        <v>0</v>
      </c>
      <c r="I54" s="432"/>
      <c r="J54" s="432"/>
      <c r="K54" s="432"/>
      <c r="L54" s="432"/>
      <c r="M54" s="432"/>
      <c r="N54" s="432"/>
      <c r="O54" s="432"/>
      <c r="P54" s="432"/>
      <c r="Q54" s="432"/>
      <c r="R54" s="432"/>
      <c r="S54" s="432"/>
      <c r="T54" s="298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4"/>
    </row>
    <row r="55" spans="2:38" ht="30.75" customHeight="1" thickBot="1">
      <c r="B55" s="408" t="s">
        <v>342</v>
      </c>
      <c r="C55" s="409"/>
      <c r="D55" s="409"/>
      <c r="E55" s="409"/>
      <c r="F55" s="409"/>
      <c r="G55" s="409"/>
      <c r="H55" s="433">
        <f>'Summary Data'!$H$26</f>
        <v>4.4077630940137773</v>
      </c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299"/>
      <c r="U55" s="299"/>
      <c r="V55" s="299"/>
      <c r="W55" s="300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299"/>
      <c r="AL55" s="301"/>
    </row>
    <row r="56" spans="2:38" ht="15.75" thickBot="1">
      <c r="B56" s="429" t="s">
        <v>125</v>
      </c>
      <c r="C56" s="430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31"/>
      <c r="V56" s="431"/>
      <c r="W56" s="431"/>
    </row>
    <row r="57" spans="2:38" ht="15.75" hidden="1" thickBot="1">
      <c r="B57" s="423" t="s">
        <v>220</v>
      </c>
      <c r="C57" s="424"/>
      <c r="D57" s="424"/>
      <c r="E57" s="424"/>
      <c r="F57" s="424"/>
      <c r="G57" s="424"/>
      <c r="H57" s="425"/>
      <c r="J57" s="420" t="s">
        <v>343</v>
      </c>
      <c r="K57" s="421"/>
      <c r="L57" s="421"/>
      <c r="M57" s="421"/>
      <c r="N57" s="421"/>
      <c r="O57" s="421"/>
      <c r="P57" s="421"/>
      <c r="Q57" s="421"/>
      <c r="R57" s="421"/>
      <c r="S57" s="421"/>
      <c r="T57" s="421"/>
      <c r="U57" s="421"/>
      <c r="V57" s="421"/>
      <c r="W57" s="422"/>
    </row>
    <row r="58" spans="2:38">
      <c r="B58" s="443" t="s">
        <v>350</v>
      </c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</row>
  </sheetData>
  <sheetProtection algorithmName="SHA-512" hashValue="y16XM8hH40qRvU8URr9e05ExahjWg1jorgmZdOdXQJj8GUJHH1Uo/IzVTYMO5jPUG/M6/3DFfuoJokGcXnrMeQ==" saltValue="4hKGBhfwwVhVchkJ7MY7dw==" spinCount="100000" sheet="1" objects="1" scenarios="1"/>
  <mergeCells count="20">
    <mergeCell ref="B58:S58"/>
    <mergeCell ref="B2:AL2"/>
    <mergeCell ref="AK3:AL3"/>
    <mergeCell ref="J57:W57"/>
    <mergeCell ref="B57:H57"/>
    <mergeCell ref="N6:O6"/>
    <mergeCell ref="U47:V47"/>
    <mergeCell ref="B56:C56"/>
    <mergeCell ref="J56:W56"/>
    <mergeCell ref="H51:S51"/>
    <mergeCell ref="H52:S52"/>
    <mergeCell ref="H53:S53"/>
    <mergeCell ref="H54:S54"/>
    <mergeCell ref="H55:S55"/>
    <mergeCell ref="H50:S50"/>
    <mergeCell ref="B50:C50"/>
    <mergeCell ref="B53:G53"/>
    <mergeCell ref="B55:G55"/>
    <mergeCell ref="B3:H3"/>
    <mergeCell ref="P6:AL6"/>
  </mergeCells>
  <pageMargins left="0.25" right="0.25" top="0.75" bottom="0.75" header="0.3" footer="0.3"/>
  <pageSetup paperSize="3" scale="71" fitToWidth="0" orientation="landscape" r:id="rId1"/>
  <ignoredErrors>
    <ignoredError sqref="O15:O16 O17 O26:O27 O22 O35 Y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DAA8-5CE2-4900-A5C3-2BA89D6867A9}">
  <sheetPr codeName="Sheet5">
    <pageSetUpPr fitToPage="1"/>
  </sheetPr>
  <dimension ref="B1:M45"/>
  <sheetViews>
    <sheetView tabSelected="1" topLeftCell="A19" zoomScaleNormal="100" workbookViewId="0">
      <selection activeCell="D49" sqref="D49"/>
    </sheetView>
  </sheetViews>
  <sheetFormatPr defaultRowHeight="15"/>
  <cols>
    <col min="3" max="3" width="53.140625" customWidth="1"/>
    <col min="4" max="4" width="10.28515625" customWidth="1"/>
    <col min="5" max="6" width="18.7109375" customWidth="1"/>
  </cols>
  <sheetData>
    <row r="1" spans="2:7" ht="54.75" customHeight="1">
      <c r="B1" s="437" t="s">
        <v>193</v>
      </c>
      <c r="C1" s="437"/>
      <c r="D1" s="437"/>
      <c r="E1" s="437"/>
      <c r="F1" s="437"/>
      <c r="G1" s="437"/>
    </row>
    <row r="2" spans="2:7" ht="15" customHeight="1">
      <c r="B2" s="15" t="s">
        <v>207</v>
      </c>
      <c r="C2" s="436" t="s">
        <v>29</v>
      </c>
      <c r="D2" s="436"/>
      <c r="E2" s="436"/>
      <c r="F2" s="436"/>
      <c r="G2" s="436"/>
    </row>
    <row r="3" spans="2:7">
      <c r="B3" s="8" t="s">
        <v>41</v>
      </c>
      <c r="C3" s="49" t="s">
        <v>206</v>
      </c>
      <c r="D3" s="50" t="s">
        <v>278</v>
      </c>
      <c r="E3" s="6" t="s">
        <v>150</v>
      </c>
      <c r="F3" s="6" t="s">
        <v>151</v>
      </c>
      <c r="G3" s="6" t="s">
        <v>152</v>
      </c>
    </row>
    <row r="4" spans="2:7">
      <c r="B4" s="3" t="s">
        <v>59</v>
      </c>
      <c r="C4" s="14" t="s">
        <v>153</v>
      </c>
      <c r="D4" s="38">
        <v>1996</v>
      </c>
      <c r="E4" s="10">
        <v>2991211.36</v>
      </c>
      <c r="F4" s="10">
        <v>33324472.02</v>
      </c>
      <c r="G4" s="11">
        <f>SUM(E4/F4)</f>
        <v>8.976020259840263E-2</v>
      </c>
    </row>
    <row r="5" spans="2:7">
      <c r="B5" s="3" t="s">
        <v>61</v>
      </c>
      <c r="C5" s="14" t="s">
        <v>154</v>
      </c>
      <c r="D5" s="3">
        <v>1995</v>
      </c>
      <c r="E5" s="10">
        <v>3226756.11</v>
      </c>
      <c r="F5" s="10">
        <v>10595596.800000001</v>
      </c>
      <c r="G5" s="11">
        <f t="shared" ref="G5:G43" si="0">SUM(E5/F5)</f>
        <v>0.30453745748422589</v>
      </c>
    </row>
    <row r="6" spans="2:7">
      <c r="B6" s="3" t="s">
        <v>63</v>
      </c>
      <c r="C6" s="14" t="s">
        <v>155</v>
      </c>
      <c r="D6" s="3">
        <v>1972</v>
      </c>
      <c r="E6" s="10">
        <v>331549.51</v>
      </c>
      <c r="F6" s="10">
        <v>10870721.949999999</v>
      </c>
      <c r="G6" s="11">
        <f t="shared" si="0"/>
        <v>3.0499309201814331E-2</v>
      </c>
    </row>
    <row r="7" spans="2:7">
      <c r="B7" s="3" t="s">
        <v>65</v>
      </c>
      <c r="C7" s="14" t="s">
        <v>156</v>
      </c>
      <c r="D7" s="3">
        <v>1973</v>
      </c>
      <c r="E7" s="10">
        <v>1964622.3</v>
      </c>
      <c r="F7" s="10">
        <v>25893512.699999999</v>
      </c>
      <c r="G7" s="11">
        <f t="shared" si="0"/>
        <v>7.5873147176358194E-2</v>
      </c>
    </row>
    <row r="8" spans="2:7">
      <c r="B8" s="3" t="s">
        <v>31</v>
      </c>
      <c r="C8" s="14" t="s">
        <v>157</v>
      </c>
      <c r="D8" s="3">
        <v>1947</v>
      </c>
      <c r="E8" s="10">
        <v>2295301.6</v>
      </c>
      <c r="F8" s="10">
        <v>3128769.6</v>
      </c>
      <c r="G8" s="11">
        <f t="shared" si="0"/>
        <v>0.73361157689591461</v>
      </c>
    </row>
    <row r="9" spans="2:7">
      <c r="B9" s="3" t="s">
        <v>68</v>
      </c>
      <c r="C9" s="14" t="s">
        <v>158</v>
      </c>
      <c r="D9" s="3">
        <v>1947</v>
      </c>
      <c r="E9" s="10">
        <v>4923298.8899999997</v>
      </c>
      <c r="F9" s="10">
        <v>14323602.039999999</v>
      </c>
      <c r="G9" s="11">
        <f t="shared" si="0"/>
        <v>0.34371932955490014</v>
      </c>
    </row>
    <row r="10" spans="2:7">
      <c r="B10" s="3" t="s">
        <v>70</v>
      </c>
      <c r="C10" s="14" t="s">
        <v>159</v>
      </c>
      <c r="D10" s="3">
        <v>1954</v>
      </c>
      <c r="E10" s="10">
        <v>4313674.58</v>
      </c>
      <c r="F10" s="10">
        <v>21589581.120000001</v>
      </c>
      <c r="G10" s="11">
        <f t="shared" si="0"/>
        <v>0.19980353282555952</v>
      </c>
    </row>
    <row r="11" spans="2:7">
      <c r="B11" s="3" t="s">
        <v>73</v>
      </c>
      <c r="C11" s="14" t="s">
        <v>160</v>
      </c>
      <c r="D11" s="3">
        <v>1954</v>
      </c>
      <c r="E11" s="10">
        <v>3161139.88</v>
      </c>
      <c r="F11" s="10">
        <v>7582542</v>
      </c>
      <c r="G11" s="11">
        <f t="shared" si="0"/>
        <v>0.41689711445053651</v>
      </c>
    </row>
    <row r="12" spans="2:7">
      <c r="B12" s="3" t="s">
        <v>76</v>
      </c>
      <c r="C12" s="14" t="s">
        <v>161</v>
      </c>
      <c r="D12" s="3">
        <v>2009</v>
      </c>
      <c r="E12" s="42">
        <v>0</v>
      </c>
      <c r="F12" s="10">
        <v>8162856</v>
      </c>
      <c r="G12" s="11">
        <f t="shared" si="0"/>
        <v>0</v>
      </c>
    </row>
    <row r="13" spans="2:7">
      <c r="B13" s="3" t="s">
        <v>78</v>
      </c>
      <c r="C13" s="14" t="s">
        <v>162</v>
      </c>
      <c r="D13" s="3">
        <v>1958</v>
      </c>
      <c r="E13" s="52">
        <v>5404475.0300000003</v>
      </c>
      <c r="F13" s="10">
        <v>9290240.6400000006</v>
      </c>
      <c r="G13" s="11">
        <f t="shared" si="0"/>
        <v>0.58173681817568079</v>
      </c>
    </row>
    <row r="14" spans="2:7" ht="15.75">
      <c r="B14" s="4" t="s">
        <v>80</v>
      </c>
      <c r="C14" s="14" t="s">
        <v>163</v>
      </c>
      <c r="D14" s="3">
        <v>2021</v>
      </c>
      <c r="E14" s="53">
        <v>0</v>
      </c>
      <c r="F14" s="41">
        <v>45811373</v>
      </c>
      <c r="G14" s="11">
        <f t="shared" si="0"/>
        <v>0</v>
      </c>
    </row>
    <row r="15" spans="2:7">
      <c r="B15" s="3" t="s">
        <v>82</v>
      </c>
      <c r="C15" s="14" t="s">
        <v>164</v>
      </c>
      <c r="D15" s="3">
        <v>1958</v>
      </c>
      <c r="E15" s="52">
        <v>2586637.98</v>
      </c>
      <c r="F15" s="10">
        <v>4417506.72</v>
      </c>
      <c r="G15" s="11">
        <f t="shared" si="0"/>
        <v>0.58554251163651883</v>
      </c>
    </row>
    <row r="16" spans="2:7">
      <c r="B16" s="3" t="s">
        <v>84</v>
      </c>
      <c r="C16" s="14" t="s">
        <v>165</v>
      </c>
      <c r="D16" s="3">
        <v>1956</v>
      </c>
      <c r="E16" s="52">
        <v>10513857.77</v>
      </c>
      <c r="F16" s="10">
        <v>27550687.050000001</v>
      </c>
      <c r="G16" s="11">
        <f t="shared" si="0"/>
        <v>0.38161871429627375</v>
      </c>
    </row>
    <row r="17" spans="2:13">
      <c r="B17" s="3" t="s">
        <v>86</v>
      </c>
      <c r="C17" s="14" t="s">
        <v>166</v>
      </c>
      <c r="D17" s="3">
        <v>1967</v>
      </c>
      <c r="E17" s="52">
        <v>33496.28</v>
      </c>
      <c r="F17" s="10">
        <v>2007504</v>
      </c>
      <c r="G17" s="11">
        <f t="shared" si="0"/>
        <v>1.6685535869417942E-2</v>
      </c>
    </row>
    <row r="18" spans="2:13">
      <c r="B18" s="3" t="s">
        <v>88</v>
      </c>
      <c r="C18" s="14" t="s">
        <v>167</v>
      </c>
      <c r="D18" s="3">
        <v>1970</v>
      </c>
      <c r="E18" s="52">
        <v>2350911.19</v>
      </c>
      <c r="F18" s="10">
        <v>4043812.5</v>
      </c>
      <c r="G18" s="11">
        <f t="shared" si="0"/>
        <v>0.58136008778844217</v>
      </c>
    </row>
    <row r="19" spans="2:13">
      <c r="B19" s="3" t="s">
        <v>34</v>
      </c>
      <c r="C19" s="14" t="s">
        <v>168</v>
      </c>
      <c r="D19" s="3">
        <v>2018</v>
      </c>
      <c r="E19" s="53">
        <v>0</v>
      </c>
      <c r="F19" s="42">
        <v>70502192</v>
      </c>
      <c r="G19" s="11">
        <f t="shared" si="0"/>
        <v>0</v>
      </c>
      <c r="M19" s="2"/>
    </row>
    <row r="20" spans="2:13">
      <c r="B20" s="3" t="s">
        <v>33</v>
      </c>
      <c r="C20" s="14" t="s">
        <v>169</v>
      </c>
      <c r="D20" s="3">
        <v>1955</v>
      </c>
      <c r="E20" s="52">
        <v>4111861.63</v>
      </c>
      <c r="F20" s="10">
        <v>8150341.5</v>
      </c>
      <c r="G20" s="11">
        <f t="shared" si="0"/>
        <v>0.50450175983423518</v>
      </c>
    </row>
    <row r="21" spans="2:13">
      <c r="B21" s="3" t="s">
        <v>93</v>
      </c>
      <c r="C21" s="14" t="s">
        <v>170</v>
      </c>
      <c r="D21" s="3">
        <v>1967</v>
      </c>
      <c r="E21" s="52">
        <v>16801239.100000001</v>
      </c>
      <c r="F21" s="10">
        <v>28297545.100000001</v>
      </c>
      <c r="G21" s="11">
        <f t="shared" si="0"/>
        <v>0.59373486430100253</v>
      </c>
    </row>
    <row r="22" spans="2:13">
      <c r="B22" s="3" t="s">
        <v>95</v>
      </c>
      <c r="C22" s="9" t="s">
        <v>171</v>
      </c>
      <c r="D22" s="3">
        <v>1972</v>
      </c>
      <c r="E22" s="52">
        <v>6617860.9199999999</v>
      </c>
      <c r="F22" s="10">
        <v>11248620.32</v>
      </c>
      <c r="G22" s="11">
        <f t="shared" si="0"/>
        <v>0.5883264553105656</v>
      </c>
    </row>
    <row r="23" spans="2:13" ht="15.75">
      <c r="B23" s="4" t="s">
        <v>97</v>
      </c>
      <c r="C23" s="14" t="s">
        <v>172</v>
      </c>
      <c r="D23" s="3">
        <v>2021</v>
      </c>
      <c r="E23" s="53">
        <v>0</v>
      </c>
      <c r="F23" s="13">
        <v>46104524</v>
      </c>
      <c r="G23" s="11">
        <f t="shared" si="0"/>
        <v>0</v>
      </c>
    </row>
    <row r="24" spans="2:13">
      <c r="B24" s="3" t="s">
        <v>99</v>
      </c>
      <c r="C24" s="14" t="s">
        <v>173</v>
      </c>
      <c r="D24" s="3">
        <v>1970</v>
      </c>
      <c r="E24" s="52">
        <v>5377393.3099999996</v>
      </c>
      <c r="F24" s="10">
        <v>9012208.1999999993</v>
      </c>
      <c r="G24" s="11">
        <f t="shared" si="0"/>
        <v>0.59667877069240371</v>
      </c>
    </row>
    <row r="25" spans="2:13">
      <c r="B25" s="3" t="s">
        <v>101</v>
      </c>
      <c r="C25" s="14" t="s">
        <v>174</v>
      </c>
      <c r="D25" s="3">
        <v>2010</v>
      </c>
      <c r="E25" s="53">
        <v>0</v>
      </c>
      <c r="F25" s="10">
        <v>2440735.79</v>
      </c>
      <c r="G25" s="11">
        <f t="shared" si="0"/>
        <v>0</v>
      </c>
    </row>
    <row r="26" spans="2:13">
      <c r="B26" s="3" t="s">
        <v>103</v>
      </c>
      <c r="C26" s="14" t="s">
        <v>175</v>
      </c>
      <c r="D26" s="3">
        <v>2010</v>
      </c>
      <c r="E26" s="53">
        <v>0</v>
      </c>
      <c r="F26" s="10">
        <v>1344837.39</v>
      </c>
      <c r="G26" s="11">
        <f t="shared" si="0"/>
        <v>0</v>
      </c>
    </row>
    <row r="27" spans="2:13">
      <c r="B27" s="3" t="s">
        <v>104</v>
      </c>
      <c r="C27" s="14" t="s">
        <v>176</v>
      </c>
      <c r="D27" s="3">
        <v>2010</v>
      </c>
      <c r="E27" s="53">
        <v>0</v>
      </c>
      <c r="F27" s="10">
        <v>1344837.39</v>
      </c>
      <c r="G27" s="11">
        <f t="shared" si="0"/>
        <v>0</v>
      </c>
    </row>
    <row r="28" spans="2:13">
      <c r="B28" s="3" t="s">
        <v>105</v>
      </c>
      <c r="C28" s="14" t="s">
        <v>177</v>
      </c>
      <c r="D28" s="3">
        <v>2010</v>
      </c>
      <c r="E28" s="53">
        <v>0</v>
      </c>
      <c r="F28" s="10">
        <v>1344837.39</v>
      </c>
      <c r="G28" s="11">
        <f t="shared" si="0"/>
        <v>0</v>
      </c>
    </row>
    <row r="29" spans="2:13">
      <c r="B29" s="3" t="s">
        <v>106</v>
      </c>
      <c r="C29" s="14" t="s">
        <v>178</v>
      </c>
      <c r="D29" s="3">
        <v>2010</v>
      </c>
      <c r="E29" s="53">
        <v>0</v>
      </c>
      <c r="F29" s="10">
        <v>1373250.45</v>
      </c>
      <c r="G29" s="11">
        <f t="shared" si="0"/>
        <v>0</v>
      </c>
    </row>
    <row r="30" spans="2:13">
      <c r="B30" s="3" t="s">
        <v>107</v>
      </c>
      <c r="C30" s="14" t="s">
        <v>179</v>
      </c>
      <c r="D30" s="3">
        <v>2014</v>
      </c>
      <c r="E30" s="53">
        <v>0</v>
      </c>
      <c r="F30" s="10">
        <v>5171492</v>
      </c>
      <c r="G30" s="11">
        <f t="shared" si="0"/>
        <v>0</v>
      </c>
    </row>
    <row r="31" spans="2:13">
      <c r="B31" s="3" t="s">
        <v>109</v>
      </c>
      <c r="C31" s="14" t="s">
        <v>180</v>
      </c>
      <c r="D31" s="3">
        <v>2014</v>
      </c>
      <c r="E31" s="53">
        <v>0</v>
      </c>
      <c r="F31" s="10">
        <v>5331148.7999999998</v>
      </c>
      <c r="G31" s="11">
        <f t="shared" si="0"/>
        <v>0</v>
      </c>
    </row>
    <row r="32" spans="2:13">
      <c r="B32" s="3" t="s">
        <v>32</v>
      </c>
      <c r="C32" s="14" t="s">
        <v>181</v>
      </c>
      <c r="D32" s="3">
        <v>1972</v>
      </c>
      <c r="E32" s="52">
        <v>6364078.5499999998</v>
      </c>
      <c r="F32" s="10">
        <v>11091600</v>
      </c>
      <c r="G32" s="11">
        <f t="shared" si="0"/>
        <v>0.57377461772873162</v>
      </c>
    </row>
    <row r="33" spans="2:7">
      <c r="B33" s="3" t="s">
        <v>112</v>
      </c>
      <c r="C33" s="14" t="s">
        <v>182</v>
      </c>
      <c r="D33" s="3">
        <v>1996</v>
      </c>
      <c r="E33" s="52">
        <v>120205.19</v>
      </c>
      <c r="F33" s="10">
        <v>829246.2</v>
      </c>
      <c r="G33" s="11">
        <f t="shared" si="0"/>
        <v>0.14495717918273246</v>
      </c>
    </row>
    <row r="34" spans="2:7">
      <c r="B34" s="3" t="s">
        <v>114</v>
      </c>
      <c r="C34" s="14" t="s">
        <v>183</v>
      </c>
      <c r="D34" s="3">
        <v>2009</v>
      </c>
      <c r="E34" s="53">
        <v>0</v>
      </c>
      <c r="F34" s="10">
        <v>3728409.3</v>
      </c>
      <c r="G34" s="11">
        <f t="shared" si="0"/>
        <v>0</v>
      </c>
    </row>
    <row r="35" spans="2:7">
      <c r="B35" s="3">
        <v>900</v>
      </c>
      <c r="C35" s="14" t="s">
        <v>184</v>
      </c>
      <c r="D35" s="3">
        <v>2013</v>
      </c>
      <c r="E35" s="53">
        <v>0</v>
      </c>
      <c r="F35" s="10">
        <v>358559.52</v>
      </c>
      <c r="G35" s="11">
        <f t="shared" si="0"/>
        <v>0</v>
      </c>
    </row>
    <row r="36" spans="2:7">
      <c r="B36" s="3">
        <v>910</v>
      </c>
      <c r="C36" s="9" t="s">
        <v>185</v>
      </c>
      <c r="D36" s="3">
        <v>2013</v>
      </c>
      <c r="E36" s="53">
        <v>0</v>
      </c>
      <c r="F36" s="10">
        <v>358559.52</v>
      </c>
      <c r="G36" s="11">
        <f t="shared" si="0"/>
        <v>0</v>
      </c>
    </row>
    <row r="37" spans="2:7">
      <c r="B37" s="3">
        <v>920</v>
      </c>
      <c r="C37" s="14" t="s">
        <v>186</v>
      </c>
      <c r="D37" s="3">
        <v>2013</v>
      </c>
      <c r="E37" s="53">
        <v>0</v>
      </c>
      <c r="F37" s="10">
        <v>251970</v>
      </c>
      <c r="G37" s="11">
        <f t="shared" si="0"/>
        <v>0</v>
      </c>
    </row>
    <row r="38" spans="2:7">
      <c r="B38" s="3">
        <v>930</v>
      </c>
      <c r="C38" s="14" t="s">
        <v>187</v>
      </c>
      <c r="D38" s="3">
        <v>2013</v>
      </c>
      <c r="E38" s="53">
        <v>0</v>
      </c>
      <c r="F38" s="10">
        <v>251970</v>
      </c>
      <c r="G38" s="11">
        <f t="shared" si="0"/>
        <v>0</v>
      </c>
    </row>
    <row r="39" spans="2:7">
      <c r="B39" s="3">
        <v>940</v>
      </c>
      <c r="C39" s="14" t="s">
        <v>188</v>
      </c>
      <c r="D39" s="3">
        <v>2013</v>
      </c>
      <c r="E39" s="42">
        <v>4379.28</v>
      </c>
      <c r="F39" s="10">
        <v>219541.74</v>
      </c>
      <c r="G39" s="11">
        <f t="shared" si="0"/>
        <v>1.9947368550508892E-2</v>
      </c>
    </row>
    <row r="40" spans="2:7">
      <c r="B40" s="3">
        <v>950</v>
      </c>
      <c r="C40" s="14" t="s">
        <v>189</v>
      </c>
      <c r="D40" s="3">
        <v>2018</v>
      </c>
      <c r="E40" s="53">
        <v>0</v>
      </c>
      <c r="F40" s="10">
        <v>1007052</v>
      </c>
      <c r="G40" s="11">
        <f t="shared" si="0"/>
        <v>0</v>
      </c>
    </row>
    <row r="41" spans="2:7">
      <c r="B41" s="3">
        <v>960</v>
      </c>
      <c r="C41" s="14" t="s">
        <v>190</v>
      </c>
      <c r="D41" s="3">
        <v>2006</v>
      </c>
      <c r="E41" s="53">
        <v>0</v>
      </c>
      <c r="F41" s="10">
        <v>229417.32</v>
      </c>
      <c r="G41" s="11">
        <f t="shared" si="0"/>
        <v>0</v>
      </c>
    </row>
    <row r="42" spans="2:7">
      <c r="B42" s="5">
        <v>972</v>
      </c>
      <c r="C42" s="14" t="s">
        <v>191</v>
      </c>
      <c r="D42" s="3">
        <v>2013</v>
      </c>
      <c r="E42" s="53">
        <v>0</v>
      </c>
      <c r="F42" s="10">
        <v>759660</v>
      </c>
      <c r="G42" s="11">
        <f t="shared" si="0"/>
        <v>0</v>
      </c>
    </row>
    <row r="43" spans="2:7">
      <c r="B43" s="5">
        <v>973</v>
      </c>
      <c r="C43" s="14" t="s">
        <v>192</v>
      </c>
      <c r="D43" s="3">
        <v>1947</v>
      </c>
      <c r="E43" s="12">
        <v>547389.36</v>
      </c>
      <c r="F43" s="10">
        <v>839210</v>
      </c>
      <c r="G43" s="11">
        <f t="shared" si="0"/>
        <v>0.65226744199902287</v>
      </c>
    </row>
    <row r="44" spans="2:7" ht="18.75" customHeight="1">
      <c r="B44" s="435" t="s">
        <v>284</v>
      </c>
      <c r="C44" s="435"/>
      <c r="D44" s="435"/>
      <c r="E44" s="435"/>
      <c r="F44" s="435"/>
      <c r="G44" s="435"/>
    </row>
    <row r="45" spans="2:7">
      <c r="B45" s="445" t="s">
        <v>350</v>
      </c>
      <c r="C45" s="444"/>
      <c r="D45" s="444"/>
      <c r="E45" s="444"/>
      <c r="F45" s="40"/>
      <c r="G45" s="40"/>
    </row>
  </sheetData>
  <sheetProtection algorithmName="SHA-512" hashValue="uy95T2iFN/YL81XKRPubxRnmSxW790ropk8MNzU/9s9CeWFLLKA9n0nTUxr652eVzBQ86iX1S+CyxK2PddA4MQ==" saltValue="UfN64VR3dpoAL3IWqEIRJw==" spinCount="100000" sheet="1" objects="1" scenarios="1"/>
  <mergeCells count="4">
    <mergeCell ref="B44:G44"/>
    <mergeCell ref="C2:G2"/>
    <mergeCell ref="B1:G1"/>
    <mergeCell ref="B45:E45"/>
  </mergeCells>
  <pageMargins left="0.25" right="0.25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2AD478B3EA840BA4F1FA2E858E2BD" ma:contentTypeVersion="2" ma:contentTypeDescription="Create a new document." ma:contentTypeScope="" ma:versionID="34772a5963c5562ab581fc9c27f31549">
  <xsd:schema xmlns:xsd="http://www.w3.org/2001/XMLSchema" xmlns:xs="http://www.w3.org/2001/XMLSchema" xmlns:p="http://schemas.microsoft.com/office/2006/metadata/properties" xmlns:ns1="http://schemas.microsoft.com/sharepoint/v3" xmlns:ns2="d6e866e8-7e90-4abe-a382-bf774f596087" targetNamespace="http://schemas.microsoft.com/office/2006/metadata/properties" ma:root="true" ma:fieldsID="f2fd6c16b90bde1758a258c96b65d67a" ns1:_="" ns2:_="">
    <xsd:import namespace="http://schemas.microsoft.com/sharepoint/v3"/>
    <xsd:import namespace="d6e866e8-7e90-4abe-a382-bf774f5960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866e8-7e90-4abe-a382-bf774f596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2AB206-D122-45FB-8939-269A2B063373}"/>
</file>

<file path=customXml/itemProps2.xml><?xml version="1.0" encoding="utf-8"?>
<ds:datastoreItem xmlns:ds="http://schemas.openxmlformats.org/officeDocument/2006/customXml" ds:itemID="{44805BD4-5B1F-4248-A31E-E26843738029}"/>
</file>

<file path=customXml/itemProps3.xml><?xml version="1.0" encoding="utf-8"?>
<ds:datastoreItem xmlns:ds="http://schemas.openxmlformats.org/officeDocument/2006/customXml" ds:itemID="{B48E5396-31BF-48E0-9813-D2DBAB715D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Data</vt:lpstr>
      <vt:lpstr>Staffing Expenses </vt:lpstr>
      <vt:lpstr>Expenses by Building</vt:lpstr>
      <vt:lpstr>Campuswide Expenses</vt:lpstr>
      <vt:lpstr>FUSION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Alanis, Ellen</dc:creator>
  <cp:lastModifiedBy>Alanis, Ellen</cp:lastModifiedBy>
  <cp:lastPrinted>2023-11-17T00:37:36Z</cp:lastPrinted>
  <dcterms:created xsi:type="dcterms:W3CDTF">2022-10-21T16:37:19Z</dcterms:created>
  <dcterms:modified xsi:type="dcterms:W3CDTF">2024-01-25T17:04:42Z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0x01010078F2AD478B3EA840BA4F1FA2E858E2BD</vt:lpwstr>
  </property>
</Properties>
</file>