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partment Directories\Facility Planning\13. PLANNING\MOPS+B\FINAL\"/>
    </mc:Choice>
  </mc:AlternateContent>
  <xr:revisionPtr revIDLastSave="0" documentId="14_{1D7A104A-8CAB-414E-914E-A37FB12436B3}" xr6:coauthVersionLast="47" xr6:coauthVersionMax="47" xr10:uidLastSave="{00000000-0000-0000-0000-000000000000}"/>
  <bookViews>
    <workbookView xWindow="28680" yWindow="-120" windowWidth="24240" windowHeight="17640" activeTab="4" xr2:uid="{E936361E-0279-4DA8-902D-5F8F9AB6CDA5}"/>
  </bookViews>
  <sheets>
    <sheet name="Summary Data" sheetId="5" r:id="rId1"/>
    <sheet name="Staffing Expenses " sheetId="2" r:id="rId2"/>
    <sheet name="Expenses by Building" sheetId="7" r:id="rId3"/>
    <sheet name="Campuswide Expenses" sheetId="8" r:id="rId4"/>
    <sheet name="FUSION Assessment" sheetId="9" r:id="rId5"/>
  </sheets>
  <definedNames>
    <definedName name="_xlnm._FilterDatabase" localSheetId="1" hidden="1">'Staffing Expenses '!$A$3:$E$5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F26" i="2"/>
  <c r="O10" i="7"/>
  <c r="O9" i="7"/>
  <c r="G25" i="5"/>
  <c r="G24" i="5"/>
  <c r="G23" i="5"/>
  <c r="G22" i="5"/>
  <c r="G16" i="9"/>
  <c r="G15" i="9"/>
  <c r="G14" i="9"/>
  <c r="G13" i="9"/>
  <c r="G12" i="9"/>
  <c r="G11" i="9"/>
  <c r="G10" i="9"/>
  <c r="G9" i="9"/>
  <c r="G8" i="9"/>
  <c r="G7" i="9"/>
  <c r="G6" i="9"/>
  <c r="G5" i="9"/>
  <c r="G4" i="9"/>
  <c r="AJ19" i="8"/>
  <c r="AJ18" i="8"/>
  <c r="AJ17" i="8"/>
  <c r="AJ16" i="8"/>
  <c r="AJ15" i="8"/>
  <c r="AJ12" i="8"/>
  <c r="AJ11" i="8"/>
  <c r="AJ9" i="8"/>
  <c r="D8" i="7"/>
  <c r="A26" i="2"/>
  <c r="L14" i="7" l="1"/>
  <c r="L13" i="7"/>
  <c r="G7" i="7"/>
  <c r="K4" i="7"/>
  <c r="O30" i="7"/>
  <c r="AK3" i="8"/>
  <c r="G11" i="5"/>
  <c r="G10" i="5"/>
  <c r="B26" i="2"/>
  <c r="C17" i="2"/>
  <c r="B17" i="2"/>
  <c r="A17" i="2"/>
  <c r="AJ13" i="8" l="1"/>
  <c r="AJ8" i="8"/>
  <c r="AJ14" i="8"/>
  <c r="AJ7" i="8"/>
  <c r="AJ10" i="8"/>
  <c r="M7" i="8"/>
  <c r="M13" i="8"/>
  <c r="M17" i="8" l="1"/>
  <c r="M18" i="8"/>
  <c r="M19" i="8"/>
  <c r="M14" i="8"/>
  <c r="M15" i="8"/>
  <c r="M16" i="8"/>
  <c r="M12" i="8" l="1"/>
  <c r="M10" i="8" l="1"/>
  <c r="M9" i="8"/>
  <c r="M8" i="8"/>
  <c r="A9" i="2"/>
  <c r="D19" i="7" l="1"/>
  <c r="E19" i="7" s="1"/>
  <c r="F19" i="7" s="1"/>
  <c r="G19" i="7" s="1"/>
  <c r="H19" i="7" s="1"/>
  <c r="I19" i="7" s="1"/>
  <c r="J19" i="7" s="1"/>
  <c r="K19" i="7" s="1"/>
  <c r="L19" i="7" s="1"/>
  <c r="M19" i="7" s="1"/>
  <c r="N19" i="7" s="1"/>
  <c r="M8" i="2" l="1"/>
  <c r="I8" i="2"/>
  <c r="J8" i="2" s="1"/>
  <c r="E8" i="2"/>
  <c r="F8" i="2" s="1"/>
  <c r="N8" i="2" l="1"/>
  <c r="O8" i="2" s="1"/>
  <c r="K8" i="2"/>
  <c r="B3" i="8" l="1"/>
  <c r="E6" i="5"/>
  <c r="B9" i="2"/>
  <c r="D14" i="5"/>
  <c r="C13" i="5"/>
  <c r="E12" i="5"/>
  <c r="E11" i="5"/>
  <c r="D26" i="2" s="1"/>
  <c r="E10" i="5"/>
  <c r="D17" i="2" s="1"/>
  <c r="E17" i="2" s="1"/>
  <c r="F17" i="2" s="1"/>
  <c r="I26" i="2" l="1"/>
  <c r="I17" i="2"/>
  <c r="J17" i="2" s="1"/>
  <c r="D29" i="7"/>
  <c r="H11" i="5"/>
  <c r="K17" i="2" l="1"/>
  <c r="L12" i="7" s="1"/>
  <c r="N18" i="8"/>
  <c r="N19" i="8"/>
  <c r="X19" i="8" s="1"/>
  <c r="Y19" i="8" s="1"/>
  <c r="N17" i="8"/>
  <c r="X17" i="8" s="1"/>
  <c r="Y17" i="8" s="1"/>
  <c r="N16" i="8"/>
  <c r="X16" i="8" s="1"/>
  <c r="Y16" i="8" s="1"/>
  <c r="N15" i="8"/>
  <c r="X15" i="8" s="1"/>
  <c r="Y15" i="8" s="1"/>
  <c r="N14" i="8"/>
  <c r="X14" i="8" s="1"/>
  <c r="Y14" i="8" s="1"/>
  <c r="N13" i="8"/>
  <c r="N12" i="8"/>
  <c r="X12" i="8" s="1"/>
  <c r="Y12" i="8" s="1"/>
  <c r="N11" i="8"/>
  <c r="X11" i="8" s="1"/>
  <c r="Y11" i="8" s="1"/>
  <c r="N10" i="8"/>
  <c r="X10" i="8" s="1"/>
  <c r="Y10" i="8" s="1"/>
  <c r="N9" i="8"/>
  <c r="X9" i="8" s="1"/>
  <c r="Y9" i="8" s="1"/>
  <c r="N7" i="8"/>
  <c r="N8" i="8"/>
  <c r="X8" i="8" s="1"/>
  <c r="Y8" i="8" s="1"/>
  <c r="G4" i="7"/>
  <c r="X7" i="8" l="1"/>
  <c r="D18" i="7"/>
  <c r="X18" i="8"/>
  <c r="Y18" i="8" s="1"/>
  <c r="X20" i="8"/>
  <c r="Y20" i="8" s="1"/>
  <c r="D7" i="7"/>
  <c r="H10" i="5"/>
  <c r="G9" i="5"/>
  <c r="E29" i="7"/>
  <c r="F29" i="7" s="1"/>
  <c r="G29" i="7" s="1"/>
  <c r="H29" i="7" s="1"/>
  <c r="I29" i="7" s="1"/>
  <c r="J29" i="7" s="1"/>
  <c r="K29" i="7" s="1"/>
  <c r="L29" i="7" s="1"/>
  <c r="M29" i="7" s="1"/>
  <c r="N29" i="7" s="1"/>
  <c r="Y7" i="8" l="1"/>
  <c r="E18" i="7"/>
  <c r="D20" i="7"/>
  <c r="D21" i="7" s="1"/>
  <c r="G20" i="8"/>
  <c r="F20" i="8"/>
  <c r="O19" i="8"/>
  <c r="O18" i="8"/>
  <c r="O17" i="8"/>
  <c r="O16" i="8"/>
  <c r="O15" i="8"/>
  <c r="O14" i="8"/>
  <c r="O12" i="8"/>
  <c r="O11" i="8"/>
  <c r="O10" i="8"/>
  <c r="O9" i="8"/>
  <c r="O8" i="8"/>
  <c r="O7" i="8"/>
  <c r="E20" i="7" l="1"/>
  <c r="E21" i="7" s="1"/>
  <c r="F18" i="7"/>
  <c r="F20" i="7" l="1"/>
  <c r="F21" i="7" s="1"/>
  <c r="G18" i="7"/>
  <c r="C9" i="2"/>
  <c r="H12" i="5"/>
  <c r="L10" i="7"/>
  <c r="E9" i="5"/>
  <c r="H9" i="5" s="1"/>
  <c r="L9" i="7" s="1"/>
  <c r="E41" i="5"/>
  <c r="H27" i="8" s="1"/>
  <c r="E38" i="5"/>
  <c r="E35" i="5"/>
  <c r="H8" i="7" s="1"/>
  <c r="D22" i="7" s="1"/>
  <c r="E32" i="5"/>
  <c r="E7" i="5"/>
  <c r="C26" i="2" s="1"/>
  <c r="E19" i="5"/>
  <c r="E25" i="5" s="1"/>
  <c r="H25" i="5" s="1"/>
  <c r="E18" i="5"/>
  <c r="L26" i="2" s="1"/>
  <c r="E17" i="5"/>
  <c r="L17" i="2" s="1"/>
  <c r="E16" i="5"/>
  <c r="E26" i="2" l="1"/>
  <c r="J26" i="2"/>
  <c r="M17" i="2"/>
  <c r="M26" i="2"/>
  <c r="E22" i="7"/>
  <c r="H18" i="7"/>
  <c r="G20" i="7"/>
  <c r="G21" i="7" s="1"/>
  <c r="E22" i="5"/>
  <c r="L9" i="2"/>
  <c r="E23" i="5"/>
  <c r="E24" i="5"/>
  <c r="F41" i="5"/>
  <c r="H12" i="7" s="1"/>
  <c r="D26" i="7" s="1"/>
  <c r="H26" i="8"/>
  <c r="U13" i="8"/>
  <c r="AH13" i="8" s="1"/>
  <c r="U18" i="8"/>
  <c r="AH18" i="8" s="1"/>
  <c r="U10" i="8"/>
  <c r="AH10" i="8" s="1"/>
  <c r="U11" i="8"/>
  <c r="AH11" i="8" s="1"/>
  <c r="U8" i="8"/>
  <c r="AH8" i="8" s="1"/>
  <c r="U17" i="8"/>
  <c r="AH17" i="8" s="1"/>
  <c r="U16" i="8"/>
  <c r="AH16" i="8" s="1"/>
  <c r="U9" i="8"/>
  <c r="AH9" i="8" s="1"/>
  <c r="U7" i="8"/>
  <c r="AH7" i="8" s="1"/>
  <c r="U15" i="8"/>
  <c r="AH15" i="8" s="1"/>
  <c r="U12" i="8"/>
  <c r="AH12" i="8" s="1"/>
  <c r="U14" i="8"/>
  <c r="AH14" i="8" s="1"/>
  <c r="U19" i="8"/>
  <c r="AH19" i="8" s="1"/>
  <c r="H9" i="7"/>
  <c r="D23" i="7" s="1"/>
  <c r="F35" i="5"/>
  <c r="H24" i="8" s="1"/>
  <c r="D9" i="2"/>
  <c r="E20" i="5"/>
  <c r="E29" i="5"/>
  <c r="N26" i="2" l="1"/>
  <c r="O26" i="2" s="1"/>
  <c r="N17" i="2"/>
  <c r="O17" i="2" s="1"/>
  <c r="I9" i="2"/>
  <c r="J9" i="2" s="1"/>
  <c r="N9" i="2" s="1"/>
  <c r="O9" i="2" s="1"/>
  <c r="E9" i="2"/>
  <c r="F9" i="2" s="1"/>
  <c r="K9" i="2"/>
  <c r="L11" i="7" s="1"/>
  <c r="AC8" i="8"/>
  <c r="AC12" i="8"/>
  <c r="AC10" i="8"/>
  <c r="AC17" i="8"/>
  <c r="AC13" i="8"/>
  <c r="AC11" i="8"/>
  <c r="AC9" i="8"/>
  <c r="AC16" i="8"/>
  <c r="AC19" i="8"/>
  <c r="AC14" i="8"/>
  <c r="AC15" i="8"/>
  <c r="AC7" i="8"/>
  <c r="AC18" i="8"/>
  <c r="F22" i="7"/>
  <c r="G22" i="7" s="1"/>
  <c r="H22" i="7" s="1"/>
  <c r="I22" i="7" s="1"/>
  <c r="J22" i="7" s="1"/>
  <c r="K22" i="7" s="1"/>
  <c r="L22" i="7" s="1"/>
  <c r="M22" i="7" s="1"/>
  <c r="N22" i="7" s="1"/>
  <c r="E23" i="7"/>
  <c r="E26" i="7"/>
  <c r="I18" i="7"/>
  <c r="H20" i="7"/>
  <c r="H21" i="7" s="1"/>
  <c r="E26" i="5"/>
  <c r="T16" i="8"/>
  <c r="T8" i="8"/>
  <c r="T19" i="8"/>
  <c r="T11" i="8"/>
  <c r="T18" i="8"/>
  <c r="T10" i="8"/>
  <c r="T7" i="8"/>
  <c r="T17" i="8"/>
  <c r="T9" i="8"/>
  <c r="T14" i="8"/>
  <c r="T12" i="8"/>
  <c r="T15" i="8"/>
  <c r="T13" i="8"/>
  <c r="H10" i="7"/>
  <c r="D24" i="7" s="1"/>
  <c r="H25" i="8"/>
  <c r="Q9" i="8"/>
  <c r="Q18" i="8"/>
  <c r="Q16" i="8"/>
  <c r="Q10" i="8"/>
  <c r="Q8" i="8"/>
  <c r="Q17" i="8"/>
  <c r="Q15" i="8"/>
  <c r="Q13" i="8"/>
  <c r="Q12" i="8"/>
  <c r="Q14" i="8"/>
  <c r="Q11" i="8"/>
  <c r="Q19" i="8"/>
  <c r="Q7" i="8"/>
  <c r="M9" i="2"/>
  <c r="G17" i="5" l="1"/>
  <c r="H23" i="5" s="1"/>
  <c r="G18" i="5"/>
  <c r="H24" i="5" s="1"/>
  <c r="AG18" i="8"/>
  <c r="AB18" i="8"/>
  <c r="AE14" i="8"/>
  <c r="Z14" i="8"/>
  <c r="AE15" i="8"/>
  <c r="Z15" i="8"/>
  <c r="AE16" i="8"/>
  <c r="Z16" i="8"/>
  <c r="AG13" i="8"/>
  <c r="AB13" i="8"/>
  <c r="AG7" i="8"/>
  <c r="AB7" i="8"/>
  <c r="AE11" i="8"/>
  <c r="Z11" i="8"/>
  <c r="AE10" i="8"/>
  <c r="Z10" i="8"/>
  <c r="AE17" i="8"/>
  <c r="Z17" i="8"/>
  <c r="AE18" i="8"/>
  <c r="Z18" i="8"/>
  <c r="AG15" i="8"/>
  <c r="AB15" i="8"/>
  <c r="AG11" i="8"/>
  <c r="AB11" i="8"/>
  <c r="AE7" i="8"/>
  <c r="Z7" i="8"/>
  <c r="AE8" i="8"/>
  <c r="Z8" i="8"/>
  <c r="AG12" i="8"/>
  <c r="AB12" i="8"/>
  <c r="AG14" i="8"/>
  <c r="AB14" i="8"/>
  <c r="AG10" i="8"/>
  <c r="AB10" i="8"/>
  <c r="AE19" i="8"/>
  <c r="Z19" i="8"/>
  <c r="AE9" i="8"/>
  <c r="Z9" i="8"/>
  <c r="AE12" i="8"/>
  <c r="Z12" i="8"/>
  <c r="AG19" i="8"/>
  <c r="AB19" i="8"/>
  <c r="AE13" i="8"/>
  <c r="Z13" i="8"/>
  <c r="AG8" i="8"/>
  <c r="AB8" i="8"/>
  <c r="AG9" i="8"/>
  <c r="AB9" i="8"/>
  <c r="AG17" i="8"/>
  <c r="AB17" i="8"/>
  <c r="AG16" i="8"/>
  <c r="AB16" i="8"/>
  <c r="O22" i="7"/>
  <c r="F23" i="7"/>
  <c r="G23" i="7" s="1"/>
  <c r="H23" i="7" s="1"/>
  <c r="I23" i="7" s="1"/>
  <c r="J23" i="7" s="1"/>
  <c r="K23" i="7" s="1"/>
  <c r="L23" i="7" s="1"/>
  <c r="M23" i="7" s="1"/>
  <c r="N23" i="7" s="1"/>
  <c r="F26" i="7"/>
  <c r="G26" i="7" s="1"/>
  <c r="H26" i="7" s="1"/>
  <c r="I26" i="7" s="1"/>
  <c r="J26" i="7" s="1"/>
  <c r="K26" i="7" s="1"/>
  <c r="L26" i="7" s="1"/>
  <c r="M26" i="7" s="1"/>
  <c r="N26" i="7" s="1"/>
  <c r="E24" i="7"/>
  <c r="J18" i="7"/>
  <c r="I20" i="7"/>
  <c r="I21" i="7" s="1"/>
  <c r="R7" i="8"/>
  <c r="R14" i="8"/>
  <c r="R13" i="8"/>
  <c r="S13" i="8" s="1"/>
  <c r="R19" i="8"/>
  <c r="R12" i="8"/>
  <c r="R17" i="8"/>
  <c r="R18" i="8"/>
  <c r="R11" i="8"/>
  <c r="R8" i="8"/>
  <c r="R15" i="8"/>
  <c r="S15" i="8" s="1"/>
  <c r="R16" i="8"/>
  <c r="S16" i="8" s="1"/>
  <c r="R10" i="8"/>
  <c r="R9" i="8"/>
  <c r="AF12" i="8" l="1"/>
  <c r="AA12" i="8"/>
  <c r="AF7" i="8"/>
  <c r="AA7" i="8"/>
  <c r="AF8" i="8"/>
  <c r="AA8" i="8"/>
  <c r="AF14" i="8"/>
  <c r="AA14" i="8"/>
  <c r="S9" i="8"/>
  <c r="AF9" i="8"/>
  <c r="AA9" i="8"/>
  <c r="S19" i="8"/>
  <c r="AF19" i="8"/>
  <c r="AA19" i="8"/>
  <c r="AF11" i="8"/>
  <c r="AA11" i="8"/>
  <c r="AF18" i="8"/>
  <c r="AA18" i="8"/>
  <c r="AF15" i="8"/>
  <c r="AA15" i="8"/>
  <c r="AF10" i="8"/>
  <c r="AA10" i="8"/>
  <c r="AF13" i="8"/>
  <c r="AA13" i="8"/>
  <c r="AF16" i="8"/>
  <c r="AA16" i="8"/>
  <c r="S17" i="8"/>
  <c r="AF17" i="8"/>
  <c r="AA17" i="8"/>
  <c r="O23" i="7"/>
  <c r="O26" i="7"/>
  <c r="F24" i="7"/>
  <c r="G24" i="7" s="1"/>
  <c r="H24" i="7" s="1"/>
  <c r="I24" i="7" s="1"/>
  <c r="J24" i="7" s="1"/>
  <c r="K24" i="7" s="1"/>
  <c r="L24" i="7" s="1"/>
  <c r="M24" i="7" s="1"/>
  <c r="N24" i="7" s="1"/>
  <c r="S14" i="8"/>
  <c r="S8" i="8"/>
  <c r="S18" i="8"/>
  <c r="S12" i="8"/>
  <c r="S10" i="8"/>
  <c r="S11" i="8"/>
  <c r="S7" i="8"/>
  <c r="K18" i="7"/>
  <c r="J20" i="7"/>
  <c r="J21" i="7" s="1"/>
  <c r="G16" i="5"/>
  <c r="H22" i="5" s="1"/>
  <c r="H26" i="5" s="1"/>
  <c r="H28" i="8" l="1"/>
  <c r="H11" i="7"/>
  <c r="D25" i="7" s="1"/>
  <c r="E25" i="7" s="1"/>
  <c r="F25" i="7" s="1"/>
  <c r="G25" i="7" s="1"/>
  <c r="H25" i="7" s="1"/>
  <c r="I25" i="7" s="1"/>
  <c r="J25" i="7" s="1"/>
  <c r="K25" i="7" s="1"/>
  <c r="L25" i="7" s="1"/>
  <c r="M25" i="7" s="1"/>
  <c r="N25" i="7" s="1"/>
  <c r="N27" i="7" s="1"/>
  <c r="N31" i="7" s="1"/>
  <c r="O24" i="7"/>
  <c r="K20" i="7"/>
  <c r="K21" i="7" s="1"/>
  <c r="L18" i="7"/>
  <c r="O25" i="7" l="1"/>
  <c r="O27" i="7" s="1"/>
  <c r="O31" i="7" s="1"/>
  <c r="M18" i="7"/>
  <c r="L20" i="7"/>
  <c r="L21" i="7" s="1"/>
  <c r="V9" i="8"/>
  <c r="AI9" i="8" s="1"/>
  <c r="AL9" i="8" s="1"/>
  <c r="V8" i="8"/>
  <c r="AI8" i="8" s="1"/>
  <c r="AL8" i="8" s="1"/>
  <c r="V19" i="8"/>
  <c r="AI19" i="8" s="1"/>
  <c r="AL19" i="8" s="1"/>
  <c r="V7" i="8"/>
  <c r="AI7" i="8" s="1"/>
  <c r="AL7" i="8" s="1"/>
  <c r="V18" i="8"/>
  <c r="AI18" i="8" s="1"/>
  <c r="AL18" i="8" s="1"/>
  <c r="V17" i="8"/>
  <c r="AI17" i="8" s="1"/>
  <c r="AL17" i="8" s="1"/>
  <c r="V13" i="8"/>
  <c r="AI13" i="8" s="1"/>
  <c r="AL13" i="8" s="1"/>
  <c r="V11" i="8"/>
  <c r="AI11" i="8" s="1"/>
  <c r="AL11" i="8" s="1"/>
  <c r="V10" i="8"/>
  <c r="AI10" i="8" s="1"/>
  <c r="AL10" i="8" s="1"/>
  <c r="V16" i="8"/>
  <c r="AI16" i="8" s="1"/>
  <c r="AL16" i="8" s="1"/>
  <c r="V15" i="8"/>
  <c r="AI15" i="8" s="1"/>
  <c r="AL15" i="8" s="1"/>
  <c r="V14" i="8"/>
  <c r="AI14" i="8" s="1"/>
  <c r="AL14" i="8" s="1"/>
  <c r="V12" i="8"/>
  <c r="AI12" i="8" s="1"/>
  <c r="AL12" i="8" s="1"/>
  <c r="D27" i="7"/>
  <c r="AD16" i="8" l="1"/>
  <c r="AK16" i="8" s="1"/>
  <c r="W16" i="8"/>
  <c r="AD10" i="8"/>
  <c r="AK10" i="8" s="1"/>
  <c r="W10" i="8"/>
  <c r="AD7" i="8"/>
  <c r="AK7" i="8" s="1"/>
  <c r="W7" i="8"/>
  <c r="AD17" i="8"/>
  <c r="AK17" i="8" s="1"/>
  <c r="W17" i="8"/>
  <c r="AD9" i="8"/>
  <c r="AK9" i="8" s="1"/>
  <c r="W9" i="8"/>
  <c r="AD12" i="8"/>
  <c r="AK12" i="8" s="1"/>
  <c r="W12" i="8"/>
  <c r="AD19" i="8"/>
  <c r="AK19" i="8" s="1"/>
  <c r="W19" i="8"/>
  <c r="AD8" i="8"/>
  <c r="AK8" i="8" s="1"/>
  <c r="W8" i="8"/>
  <c r="AD11" i="8"/>
  <c r="AK11" i="8" s="1"/>
  <c r="W11" i="8"/>
  <c r="AD13" i="8"/>
  <c r="AK13" i="8" s="1"/>
  <c r="W13" i="8"/>
  <c r="AD15" i="8"/>
  <c r="AK15" i="8" s="1"/>
  <c r="W15" i="8"/>
  <c r="AD18" i="8"/>
  <c r="AK18" i="8" s="1"/>
  <c r="W18" i="8"/>
  <c r="AD14" i="8"/>
  <c r="AK14" i="8" s="1"/>
  <c r="W14" i="8"/>
  <c r="D31" i="7"/>
  <c r="N18" i="7"/>
  <c r="M20" i="7"/>
  <c r="M21" i="7" s="1"/>
  <c r="E27" i="7"/>
  <c r="E31" i="7" l="1"/>
  <c r="N20" i="7"/>
  <c r="N21" i="7" s="1"/>
  <c r="F27" i="7"/>
  <c r="F31" i="7" l="1"/>
  <c r="G27" i="7"/>
  <c r="G31" i="7" s="1"/>
  <c r="H27" i="7" l="1"/>
  <c r="H31" i="7" s="1"/>
  <c r="I27" i="7" l="1"/>
  <c r="I31" i="7" l="1"/>
  <c r="J27" i="7"/>
  <c r="J31" i="7" s="1"/>
  <c r="K27" i="7" l="1"/>
  <c r="K31" i="7" s="1"/>
  <c r="L27" i="7" l="1"/>
  <c r="L31" i="7" s="1"/>
  <c r="M27" i="7" l="1"/>
  <c r="M31" i="7" l="1"/>
  <c r="O13" i="8"/>
  <c r="X13" i="8"/>
  <c r="Y13" i="8" l="1"/>
  <c r="W20" i="8" l="1"/>
  <c r="AK20" i="8"/>
  <c r="AL20" i="8" l="1"/>
</calcChain>
</file>

<file path=xl/sharedStrings.xml><?xml version="1.0" encoding="utf-8"?>
<sst xmlns="http://schemas.openxmlformats.org/spreadsheetml/2006/main" count="360" uniqueCount="280">
  <si>
    <t>Site</t>
  </si>
  <si>
    <t>Site GSF</t>
  </si>
  <si>
    <t xml:space="preserve">GSF to clean per Custodian </t>
  </si>
  <si>
    <t>Orderly Spotlessness</t>
  </si>
  <si>
    <t>Ordinary Tidiness</t>
  </si>
  <si>
    <t>Casual Inattention</t>
  </si>
  <si>
    <t>Moderate Dinginess</t>
  </si>
  <si>
    <t>Projected GSF to clean per Custodian</t>
  </si>
  <si>
    <t>Projected Staff Count</t>
  </si>
  <si>
    <t>Showpiece Facility</t>
  </si>
  <si>
    <t>Comprehensive Stewardship</t>
  </si>
  <si>
    <t>Managed Care</t>
  </si>
  <si>
    <t>Reactive Management</t>
  </si>
  <si>
    <t xml:space="preserve">Crisis Response </t>
  </si>
  <si>
    <t>State of the Art</t>
  </si>
  <si>
    <t>High Level</t>
  </si>
  <si>
    <t>Moderate Level</t>
  </si>
  <si>
    <t>Moderately Low-Level</t>
  </si>
  <si>
    <t>Minimum Level</t>
  </si>
  <si>
    <t>Full Time</t>
  </si>
  <si>
    <t>Part Time</t>
  </si>
  <si>
    <t xml:space="preserve">Custodians   </t>
  </si>
  <si>
    <t>Maintenance Personnel</t>
  </si>
  <si>
    <t>Grounds Personnel</t>
  </si>
  <si>
    <t>Managers</t>
  </si>
  <si>
    <t>Total Salary &amp; Benefits</t>
  </si>
  <si>
    <t>Total Full-Time Employee Count</t>
  </si>
  <si>
    <t>Total Part-Time Employee Count</t>
  </si>
  <si>
    <t>2020-2021</t>
  </si>
  <si>
    <t>SANTA ANA COLLEGE</t>
  </si>
  <si>
    <t>OM&amp;R</t>
  </si>
  <si>
    <t>E</t>
  </si>
  <si>
    <t>W</t>
  </si>
  <si>
    <t>P</t>
  </si>
  <si>
    <t>O</t>
  </si>
  <si>
    <t>Annual Operating, (Planned) Maintenance &amp; Repairs</t>
  </si>
  <si>
    <t>Annual Contract Services</t>
  </si>
  <si>
    <t xml:space="preserve">Number of Custodians
(Converted to Full-Time) </t>
  </si>
  <si>
    <t xml:space="preserve"> </t>
  </si>
  <si>
    <t>Number of Maintenance Staff</t>
  </si>
  <si>
    <t xml:space="preserve">SQFT per Maintenance Staff </t>
  </si>
  <si>
    <t>BLDG ID</t>
  </si>
  <si>
    <t>BLDG NAME</t>
  </si>
  <si>
    <t>YEAR BLT.</t>
  </si>
  <si>
    <t>LAST ADD.</t>
  </si>
  <si>
    <t>GSF</t>
  </si>
  <si>
    <t>ASF</t>
  </si>
  <si>
    <t>Efficiency</t>
  </si>
  <si>
    <t>Rooms</t>
  </si>
  <si>
    <t>Stations</t>
  </si>
  <si>
    <t>Assess. Notes</t>
  </si>
  <si>
    <t>Status</t>
  </si>
  <si>
    <t xml:space="preserve">REPL </t>
  </si>
  <si>
    <t>REPL</t>
  </si>
  <si>
    <t>RES</t>
  </si>
  <si>
    <t>% of REPL</t>
  </si>
  <si>
    <t>Source 1</t>
  </si>
  <si>
    <t>2018</t>
  </si>
  <si>
    <t>Source 2</t>
  </si>
  <si>
    <t>A</t>
  </si>
  <si>
    <t>B</t>
  </si>
  <si>
    <t>C</t>
  </si>
  <si>
    <t>D</t>
  </si>
  <si>
    <t>G</t>
  </si>
  <si>
    <t>No floor plan for 1st floor</t>
  </si>
  <si>
    <t>H</t>
  </si>
  <si>
    <t>No floor plans</t>
  </si>
  <si>
    <t>L</t>
  </si>
  <si>
    <t>M</t>
  </si>
  <si>
    <t>S</t>
  </si>
  <si>
    <t>SC</t>
  </si>
  <si>
    <t>T</t>
  </si>
  <si>
    <t>Campus Total</t>
  </si>
  <si>
    <t>Source 1 FUSION Space Inventory 2020-2021</t>
  </si>
  <si>
    <t>Combine E</t>
  </si>
  <si>
    <t>CAMPUS</t>
  </si>
  <si>
    <t xml:space="preserve">BUILDING NAME </t>
  </si>
  <si>
    <t xml:space="preserve">Custodial/Maintenance Staffing (FTE) </t>
  </si>
  <si>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: Electric</t>
    </r>
  </si>
  <si>
    <t>$/GSF</t>
  </si>
  <si>
    <r>
      <rPr>
        <b/>
        <sz val="12"/>
        <color theme="1"/>
        <rFont val="Calibri"/>
        <family val="2"/>
        <scheme val="minor"/>
      </rPr>
      <t>E:</t>
    </r>
    <r>
      <rPr>
        <sz val="12"/>
        <color theme="1"/>
        <rFont val="Calibri"/>
        <family val="2"/>
        <scheme val="minor"/>
      </rPr>
      <t xml:space="preserve"> Gas</t>
    </r>
  </si>
  <si>
    <t>Campus Custodial FTE</t>
  </si>
  <si>
    <t>Campus Custodial (GSF/FTE)</t>
  </si>
  <si>
    <t>$/Site SF</t>
  </si>
  <si>
    <t>Campus Maintenance FTE</t>
  </si>
  <si>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: M&amp;O Staff</t>
    </r>
  </si>
  <si>
    <t>OM&amp;R &amp; O</t>
  </si>
  <si>
    <t>Custodial FTE for this Bldg</t>
  </si>
  <si>
    <t xml:space="preserve">(Campus GSF/FTE/Bldg GSF) </t>
  </si>
  <si>
    <t>Maintenance FTE for this Bldg</t>
  </si>
  <si>
    <t>Combine</t>
  </si>
  <si>
    <t>Number of Grounds Staff</t>
  </si>
  <si>
    <t xml:space="preserve">SQFT to maintain per Grounds Staff </t>
  </si>
  <si>
    <t>Site SQFT Grounds Only</t>
  </si>
  <si>
    <t xml:space="preserve">Site </t>
  </si>
  <si>
    <t>Projected SQFT per Grounds Staff</t>
  </si>
  <si>
    <t>Total Site Acreage converted to Square Footage</t>
  </si>
  <si>
    <t>CAMPUS GSF</t>
  </si>
  <si>
    <t>Science Center REPL: Built after 2018 Assessment - use Construction Hard Costs for 2021 then escalation 5% per annum</t>
  </si>
  <si>
    <t>Current Repair Cost</t>
  </si>
  <si>
    <t>Replacement Cost</t>
  </si>
  <si>
    <t xml:space="preserve">FCI  </t>
  </si>
  <si>
    <r>
      <t xml:space="preserve">Rancho Santiago Community College District
</t>
    </r>
    <r>
      <rPr>
        <b/>
        <sz val="16"/>
        <color theme="1"/>
        <rFont val="Calibri"/>
        <family val="2"/>
        <scheme val="minor"/>
      </rPr>
      <t>Repair &amp; Replacement Costs and Facilities Condition Index (FCI)</t>
    </r>
    <r>
      <rPr>
        <b/>
        <sz val="12"/>
        <color theme="1"/>
        <rFont val="Calibri"/>
        <family val="2"/>
        <scheme val="minor"/>
      </rPr>
      <t xml:space="preserve">
(</t>
    </r>
    <r>
      <rPr>
        <b/>
        <i/>
        <sz val="12"/>
        <color theme="1"/>
        <rFont val="Calibri"/>
        <family val="2"/>
        <scheme val="minor"/>
      </rPr>
      <t>FUSION 2018 Assessment; Facility Report, 25 January 2019</t>
    </r>
    <r>
      <rPr>
        <b/>
        <sz val="12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</si>
  <si>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Calibri"/>
        <family val="2"/>
        <scheme val="minor"/>
      </rPr>
      <t xml:space="preserve">P: </t>
    </r>
    <r>
      <rPr>
        <i/>
        <sz val="12"/>
        <color theme="1"/>
        <rFont val="Calibri"/>
        <family val="2"/>
        <scheme val="minor"/>
      </rPr>
      <t xml:space="preserve">M&amp;O Staff </t>
    </r>
    <r>
      <rPr>
        <sz val="9"/>
        <color theme="1"/>
        <rFont val="Calibri"/>
        <family val="2"/>
        <scheme val="minor"/>
      </rPr>
      <t>Annual escalation 3%</t>
    </r>
  </si>
  <si>
    <r>
      <rPr>
        <b/>
        <i/>
        <sz val="12"/>
        <color theme="1"/>
        <rFont val="Calibri"/>
        <family val="2"/>
        <scheme val="minor"/>
      </rPr>
      <t>E: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</si>
  <si>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 xml:space="preserve">OM&amp;R &amp; O: </t>
    </r>
    <r>
      <rPr>
        <i/>
        <sz val="12"/>
        <color theme="1"/>
        <rFont val="Calibri"/>
        <family val="2"/>
        <scheme val="minor"/>
      </rPr>
      <t xml:space="preserve">M&amp;O Expenditures </t>
    </r>
    <r>
      <rPr>
        <sz val="9"/>
        <color theme="1"/>
        <rFont val="Calibri"/>
        <family val="2"/>
        <scheme val="minor"/>
      </rPr>
      <t>Esc 3%</t>
    </r>
  </si>
  <si>
    <t>REPL Escalations</t>
  </si>
  <si>
    <t>RES Escalation</t>
  </si>
  <si>
    <t>E Escalation</t>
  </si>
  <si>
    <t>W Escalation</t>
  </si>
  <si>
    <t>Any projected increases/decreases</t>
  </si>
  <si>
    <t>O Escalation</t>
  </si>
  <si>
    <t>P Escalation</t>
  </si>
  <si>
    <t>FT Equivalent</t>
  </si>
  <si>
    <t>Projected Increase or Decrease in Custodial Staff</t>
  </si>
  <si>
    <t>BUILDING NAME/FACILITY</t>
  </si>
  <si>
    <t xml:space="preserve">SITE: </t>
  </si>
  <si>
    <t>Totals</t>
  </si>
  <si>
    <t>Total Site Acreage Grounds Only (Total Site Acreage- Total GSF)</t>
  </si>
  <si>
    <t>Total Gross Square Footage (GSF) FROM FUSION</t>
  </si>
  <si>
    <t>Total Assignable Square Footage (ASF) FROM FUSION</t>
  </si>
  <si>
    <t>Projected Increase or Decrease in Maintenance Staff</t>
  </si>
  <si>
    <t>Projected GSF per Maintenance Staff</t>
  </si>
  <si>
    <t xml:space="preserve">13.96 Acres
to SQFT = </t>
  </si>
  <si>
    <t>22.42 Acres
to SQFT =</t>
  </si>
  <si>
    <t xml:space="preserve">10.37 Acres
to SQFT =  </t>
  </si>
  <si>
    <t>7.96 Acres
to SQFT =</t>
  </si>
  <si>
    <t>42.6 Acres
to SQFT =</t>
  </si>
  <si>
    <t>Projected Increase or Decrease in Grounds Staff</t>
  </si>
  <si>
    <t>Source 2 FUSION 2018 Facilities Assessment + Escalation (30% through 2020, then 5% per annum)</t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</si>
  <si>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P</t>
    </r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</si>
  <si>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OM&amp;R &amp; O</t>
    </r>
  </si>
  <si>
    <r>
      <t xml:space="preserve">Historical Data </t>
    </r>
    <r>
      <rPr>
        <sz val="16"/>
        <color theme="1"/>
        <rFont val="Calibri"/>
        <family val="2"/>
        <scheme val="minor"/>
      </rPr>
      <t>2018-2019</t>
    </r>
  </si>
  <si>
    <r>
      <rPr>
        <b/>
        <sz val="12"/>
        <color theme="1"/>
        <rFont val="Calibri"/>
        <family val="2"/>
        <scheme val="minor"/>
      </rPr>
      <t>RES:</t>
    </r>
    <r>
      <rPr>
        <sz val="12"/>
        <color theme="1"/>
        <rFont val="Calibri"/>
        <family val="2"/>
        <scheme val="minor"/>
      </rPr>
      <t xml:space="preserve"> Present Value (Resale Value, Salvage Value</t>
    </r>
  </si>
  <si>
    <t>REPL-RES</t>
  </si>
  <si>
    <r>
      <t>% of</t>
    </r>
    <r>
      <rPr>
        <b/>
        <sz val="12"/>
        <color theme="1"/>
        <rFont val="Calibri"/>
        <family val="2"/>
        <scheme val="minor"/>
      </rPr>
      <t xml:space="preserve"> REPL</t>
    </r>
    <r>
      <rPr>
        <sz val="12"/>
        <color theme="1"/>
        <rFont val="Calibri"/>
        <family val="2"/>
        <scheme val="minor"/>
      </rPr>
      <t xml:space="preserve"> to calculate</t>
    </r>
    <r>
      <rPr>
        <b/>
        <sz val="12"/>
        <color theme="1"/>
        <rFont val="Calibri"/>
        <family val="2"/>
        <scheme val="minor"/>
      </rPr>
      <t xml:space="preserve"> RES</t>
    </r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</si>
  <si>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</si>
  <si>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</si>
  <si>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</si>
  <si>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</si>
  <si>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</si>
  <si>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</si>
  <si>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</si>
  <si>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</si>
  <si>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</si>
  <si>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Rancho Santiago Community College District</t>
  </si>
  <si>
    <t>Year 10</t>
  </si>
  <si>
    <t>Building's Gross Square Foot "GSF" (From FUSION)</t>
  </si>
  <si>
    <t>YEAR BUILT</t>
  </si>
  <si>
    <t>Populates automatically with changes to Custodial or Maintenance Staffing</t>
  </si>
  <si>
    <t>Total Site Acreage FROM FUSION</t>
  </si>
  <si>
    <t>fix escalation</t>
  </si>
  <si>
    <t>U</t>
  </si>
  <si>
    <r>
      <rPr>
        <b/>
        <i/>
        <sz val="12"/>
        <color theme="1"/>
        <rFont val="Calibri"/>
        <family val="2"/>
        <scheme val="minor"/>
      </rPr>
      <t xml:space="preserve">U: (W) </t>
    </r>
    <r>
      <rPr>
        <i/>
        <sz val="12"/>
        <color theme="1"/>
        <rFont val="Calibri"/>
        <family val="2"/>
        <scheme val="minor"/>
      </rPr>
      <t>Water/Sewer</t>
    </r>
    <r>
      <rPr>
        <sz val="9"/>
        <color theme="1"/>
        <rFont val="Calibri"/>
        <family val="2"/>
        <scheme val="minor"/>
      </rPr>
      <t xml:space="preserve"> Annual escalation 4%</t>
    </r>
  </si>
  <si>
    <r>
      <t>% Annual Escalation -</t>
    </r>
    <r>
      <rPr>
        <b/>
        <sz val="12"/>
        <color theme="1"/>
        <rFont val="Calibri"/>
        <family val="2"/>
        <scheme val="minor"/>
      </rPr>
      <t xml:space="preserve"> U</t>
    </r>
    <r>
      <rPr>
        <sz val="12"/>
        <color theme="1"/>
        <rFont val="Calibri"/>
        <family val="2"/>
        <scheme val="minor"/>
      </rPr>
      <t xml:space="preserve"> (</t>
    </r>
    <r>
      <rPr>
        <b/>
        <sz val="12"/>
        <color theme="1"/>
        <rFont val="Calibri"/>
        <family val="2"/>
        <scheme val="minor"/>
      </rPr>
      <t>E &amp; W)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</si>
  <si>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</si>
  <si>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Gas </t>
    </r>
    <r>
      <rPr>
        <sz val="9"/>
        <color theme="1"/>
        <rFont val="Calibri"/>
        <family val="2"/>
        <scheme val="minor"/>
      </rPr>
      <t>Annual escalation 4%</t>
    </r>
  </si>
  <si>
    <t>(Using APPA Staffing Formula)</t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</si>
  <si>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</si>
  <si>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</si>
  <si>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 xml:space="preserve">LEVEL 3 </t>
    </r>
    <r>
      <rPr>
        <b/>
        <sz val="11"/>
        <color theme="1"/>
        <rFont val="Calibri"/>
        <family val="2"/>
        <scheme val="minor"/>
      </rPr>
      <t>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</si>
  <si>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</si>
  <si>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</si>
  <si>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t>Grounds level that should be met based on APPA Standard</t>
  </si>
  <si>
    <t>To increase or decrease projected Grounds Staff, use the yellow fillable box in the table below.</t>
  </si>
  <si>
    <t>To increase or decrease projected Custodial Staff, use the yellow fillable box in the table below.</t>
  </si>
  <si>
    <t>Maintenance Level that should be met based on
APPA Standard</t>
  </si>
  <si>
    <t>Cleaning Level that should be met based on APPA Standard</t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</si>
  <si>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</si>
  <si>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</si>
  <si>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</si>
  <si>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</si>
  <si>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</si>
  <si>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Projected 
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</si>
  <si>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>Projected 
Maintenance</t>
    </r>
    <r>
      <rPr>
        <b/>
        <sz val="14"/>
        <color theme="1"/>
        <rFont val="Calibri"/>
        <family val="2"/>
        <scheme val="minor"/>
      </rPr>
      <t xml:space="preserve"> 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</si>
  <si>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Projected 
Cleaning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</si>
  <si>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>Maintenance</t>
    </r>
    <r>
      <rPr>
        <sz val="11"/>
        <color theme="1"/>
        <rFont val="Calibri"/>
        <family val="2"/>
        <scheme val="minor"/>
      </rPr>
      <t xml:space="preserve"> Campus Level: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</si>
  <si>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 xml:space="preserve">Custodial </t>
    </r>
    <r>
      <rPr>
        <sz val="11"/>
        <color theme="1"/>
        <rFont val="Calibri"/>
        <family val="2"/>
        <scheme val="minor"/>
      </rPr>
      <t>Campus Level:</t>
    </r>
  </si>
  <si>
    <t>Campus Maintenance (GSF/FTE)</t>
  </si>
  <si>
    <t>OM&amp;R Escalation</t>
  </si>
  <si>
    <t>Multiplier</t>
  </si>
  <si>
    <r>
      <rPr>
        <b/>
        <sz val="12"/>
        <color theme="1"/>
        <rFont val="Calibri"/>
        <family val="2"/>
        <scheme val="minor"/>
      </rPr>
      <t>W:</t>
    </r>
    <r>
      <rPr>
        <sz val="12"/>
        <color theme="1"/>
        <rFont val="Calibri"/>
        <family val="2"/>
        <scheme val="minor"/>
      </rPr>
      <t>Water/Sewer</t>
    </r>
  </si>
  <si>
    <r>
      <t xml:space="preserve">Campus Goal APPA Level: </t>
    </r>
    <r>
      <rPr>
        <b/>
        <sz val="12"/>
        <rFont val="Calibri"/>
        <family val="2"/>
        <scheme val="minor"/>
      </rPr>
      <t>3</t>
    </r>
  </si>
  <si>
    <r>
      <t>Campus Goal APPA Level:</t>
    </r>
    <r>
      <rPr>
        <b/>
        <sz val="12"/>
        <rFont val="Calibri"/>
        <family val="2"/>
        <scheme val="minor"/>
      </rPr>
      <t xml:space="preserve"> 3</t>
    </r>
  </si>
  <si>
    <t>10-YEAR PROJECTION</t>
  </si>
  <si>
    <r>
      <rPr>
        <b/>
        <i/>
        <sz val="12"/>
        <color theme="1"/>
        <rFont val="Calibri"/>
        <family val="2"/>
        <scheme val="minor"/>
      </rPr>
      <t xml:space="preserve">Future Renovations/Upgrades* </t>
    </r>
    <r>
      <rPr>
        <i/>
        <sz val="12"/>
        <color theme="1"/>
        <rFont val="Calibri"/>
        <family val="2"/>
        <scheme val="minor"/>
      </rPr>
      <t xml:space="preserve">
(Scheduled Maintenance &amp; Repairs)</t>
    </r>
  </si>
  <si>
    <t xml:space="preserve">*For Future Renovations/Upgrades, refer to FUSION and the Assessment Schedule.  Enter the amount of the deficiency/repair/replacement under the year it will be addressed. </t>
  </si>
  <si>
    <r>
      <t xml:space="preserve">Annual </t>
    </r>
    <r>
      <rPr>
        <b/>
        <sz val="11"/>
        <color theme="1"/>
        <rFont val="Calibri"/>
        <family val="2"/>
        <scheme val="minor"/>
      </rPr>
      <t>Water</t>
    </r>
    <r>
      <rPr>
        <sz val="11"/>
        <color theme="1"/>
        <rFont val="Calibri"/>
        <family val="2"/>
        <scheme val="minor"/>
      </rPr>
      <t xml:space="preserve"> Usage (includes landscaping)</t>
    </r>
  </si>
  <si>
    <t>Year Built</t>
  </si>
  <si>
    <r>
      <rPr>
        <b/>
        <sz val="11"/>
        <color theme="1"/>
        <rFont val="Calibri"/>
        <family val="2"/>
        <scheme val="minor"/>
      </rPr>
      <t>(U) Utilities</t>
    </r>
    <r>
      <rPr>
        <sz val="11"/>
        <color theme="1"/>
        <rFont val="Calibri"/>
        <family val="2"/>
        <scheme val="minor"/>
      </rPr>
      <t xml:space="preserve"> = (E+W)</t>
    </r>
  </si>
  <si>
    <t>EXISTING CUSTODIAL STAFF and Recommended APPA Staffing Standards</t>
  </si>
  <si>
    <t>EXISTING MAINTENANCE STAFF and Recommended APPA Staffing Standards</t>
  </si>
  <si>
    <t>EXISTING GROUNDS STAFF and Recommended APPA Staffing Standards</t>
  </si>
  <si>
    <t>Interactive Section For Projections</t>
  </si>
  <si>
    <t xml:space="preserve">Note:  The values in the gray areas were not included in the FUSION assessment.  Value recommended by 3rd Party Estimator. </t>
  </si>
  <si>
    <t>Select fiscal year from dropdown list above and enter data in yellow boxes below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</si>
  <si>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</si>
  <si>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</si>
  <si>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</si>
  <si>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</si>
  <si>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</si>
  <si>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</si>
  <si>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</si>
  <si>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</si>
  <si>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</si>
  <si>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</si>
  <si>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Historical
Fiscal Year</t>
  </si>
  <si>
    <t>Future
Renovations
&amp; Upgrades</t>
  </si>
  <si>
    <r>
      <t xml:space="preserve">Annual </t>
    </r>
    <r>
      <rPr>
        <b/>
        <sz val="11"/>
        <color theme="1"/>
        <rFont val="Calibri"/>
        <family val="2"/>
        <scheme val="minor"/>
      </rPr>
      <t>Energy</t>
    </r>
    <r>
      <rPr>
        <sz val="11"/>
        <color theme="1"/>
        <rFont val="Calibri"/>
        <family val="2"/>
        <scheme val="minor"/>
      </rPr>
      <t xml:space="preserve"> Usage (SCE)</t>
    </r>
  </si>
  <si>
    <r>
      <t xml:space="preserve">Annual </t>
    </r>
    <r>
      <rPr>
        <b/>
        <sz val="11"/>
        <color theme="1"/>
        <rFont val="Calibri"/>
        <family val="2"/>
        <scheme val="minor"/>
      </rPr>
      <t>Gas</t>
    </r>
    <r>
      <rPr>
        <sz val="11"/>
        <color theme="1"/>
        <rFont val="Calibri"/>
        <family val="2"/>
        <scheme val="minor"/>
      </rPr>
      <t xml:space="preserve"> Usage (SCG)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</si>
  <si>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</si>
  <si>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</si>
  <si>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</si>
  <si>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</si>
  <si>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 xml:space="preserve">LEVEL 5 </t>
    </r>
    <r>
      <rPr>
        <b/>
        <sz val="11"/>
        <color theme="1"/>
        <rFont val="Calibri"/>
        <family val="2"/>
        <scheme val="minor"/>
      </rPr>
      <t>APPA Standard</t>
    </r>
  </si>
  <si>
    <t>Santiago Canyon College</t>
  </si>
  <si>
    <t xml:space="preserve">A BUILDING </t>
  </si>
  <si>
    <t>B BUILDING</t>
  </si>
  <si>
    <t>C BUILDING - CHILD DEVELOPMENT CENTER</t>
  </si>
  <si>
    <t xml:space="preserve">D BUILDING </t>
  </si>
  <si>
    <t>E BUILDING</t>
  </si>
  <si>
    <t>G BUILDING</t>
  </si>
  <si>
    <t>H BUILDING - HUMANITIES BUILDING</t>
  </si>
  <si>
    <t>L BUILDING - LIBRARY</t>
  </si>
  <si>
    <t>M&amp;O</t>
  </si>
  <si>
    <t>M&amp;O BUILDING - MAINTENANCE &amp; OPERATIONS</t>
  </si>
  <si>
    <t>S BUILDING - SECURITY &amp; CAMPUS SAFETY</t>
  </si>
  <si>
    <t>SC BUILDING - SCIENCE CENTER</t>
  </si>
  <si>
    <t>T BUILDING</t>
  </si>
  <si>
    <t>U BUILDINGS</t>
  </si>
  <si>
    <t>SANTIAGO CANYON COLLEGE</t>
  </si>
  <si>
    <t>Unkempt Neglect</t>
  </si>
  <si>
    <t>Custodian Salaries</t>
  </si>
  <si>
    <t>Maintenance Personnel Salaries</t>
  </si>
  <si>
    <t>Grounds Personnel Salaries</t>
  </si>
  <si>
    <t>Manager's Salaries</t>
  </si>
  <si>
    <t>Average Custodian Salaries per Square Foot of GSF</t>
  </si>
  <si>
    <t>Average Maintenance Salaries per Square Foot of GSF</t>
  </si>
  <si>
    <t>Average Grounds Salaries per Site Acreage (Grounds Only) in SQFT</t>
  </si>
  <si>
    <t>Average Manager's Salaries per Square Foot of GSF</t>
  </si>
  <si>
    <t>Average Expense per GSF +  Average Expense per Site Acreage in SQFT</t>
  </si>
  <si>
    <t>Average Expense Per Square Foot of Site Acreage in SQFT</t>
  </si>
  <si>
    <t>Average Expense Per Square Foot of GSF</t>
  </si>
  <si>
    <t>Fiscal Year Annualized Salaries of Custodians</t>
  </si>
  <si>
    <t>Fiscal Year Custodial Salaries per GSF</t>
  </si>
  <si>
    <t xml:space="preserve"> Increase or Decrease in Custodial Staffing Salaries</t>
  </si>
  <si>
    <t>Projected Total Salaries for Custodial Staffing</t>
  </si>
  <si>
    <t>CUSTODIAL STAFFING PROJECTIONS AND SALARIES</t>
  </si>
  <si>
    <t>MAINTENANCE STAFFING PROJECTIONS AND SALARIES</t>
  </si>
  <si>
    <t>GROUNDS STAFFING PROJECTIONS AND SALARIES</t>
  </si>
  <si>
    <t>Fiscal Year Maintenance Staff Salaries per GSF</t>
  </si>
  <si>
    <t>Increase or Decrease in Grounds Staffing Salaries</t>
  </si>
  <si>
    <t>Fiscal Year Annualized Salaries of Grounds Staff</t>
  </si>
  <si>
    <t>Fiscal Year Grounds Salaries per SQFT</t>
  </si>
  <si>
    <t>Projected Total Salaries for Grounds Staffing</t>
  </si>
  <si>
    <t>Fiscal Year Annualized Salaries of Maintenance Staff</t>
  </si>
  <si>
    <t>Increase or Decrease in Maintenance Staffing Salaries</t>
  </si>
  <si>
    <t>To increase or decrease projected Maintenance Staff, use the yellow fillable box in the table below.</t>
  </si>
  <si>
    <t>Projected Total Salaries for Maintenance Staffing</t>
  </si>
  <si>
    <t xml:space="preserve">Total Building Operating &amp; Repair Expenses </t>
  </si>
  <si>
    <t xml:space="preserve"> Projected Maintenance and Operations Expenses (by Building) </t>
  </si>
  <si>
    <t>Sub Total Building Operating &amp; Repair Expenses</t>
  </si>
  <si>
    <t>Description of Expenses</t>
  </si>
  <si>
    <t>CAMPUSWIDE HISTORICAL &amp; PROJECTED EXPENSES</t>
  </si>
  <si>
    <t>Projected Expenses after
10 Years</t>
  </si>
  <si>
    <t>Projected Expenses after
20 Years</t>
  </si>
  <si>
    <t>Projected Site Expenses = U + OM&amp;R + O + P</t>
  </si>
  <si>
    <t xml:space="preserve">     (E) is Present Value of Energy Expenses combined (Gas and Electricity) Average Expense per GSF </t>
  </si>
  <si>
    <t xml:space="preserve">     (W) is Present Value of Water Expenses per Site Acreage converted to sqft;  Average Expense per sqft</t>
  </si>
  <si>
    <r>
      <rPr>
        <b/>
        <sz val="11"/>
        <color theme="1"/>
        <rFont val="Calibri"/>
        <family val="2"/>
        <scheme val="minor"/>
      </rPr>
      <t>(OM&amp;R)</t>
    </r>
    <r>
      <rPr>
        <sz val="11"/>
        <color theme="1"/>
        <rFont val="Calibri"/>
        <family val="2"/>
        <scheme val="minor"/>
      </rPr>
      <t xml:space="preserve"> = Present Value of Operating, Maintenance &amp; Repairs; 
         Average Expense per square foot is Total OM&amp;R/Total Campus GSF</t>
    </r>
  </si>
  <si>
    <r>
      <rPr>
        <b/>
        <sz val="11"/>
        <color theme="1"/>
        <rFont val="Calibri"/>
        <family val="2"/>
        <scheme val="minor"/>
      </rPr>
      <t xml:space="preserve">(O) </t>
    </r>
    <r>
      <rPr>
        <sz val="11"/>
        <color theme="1"/>
        <rFont val="Calibri"/>
        <family val="2"/>
        <scheme val="minor"/>
      </rPr>
      <t xml:space="preserve"> = Present Value of other known expenses (Contract Services) Average Expense per GSF</t>
    </r>
  </si>
  <si>
    <r>
      <rPr>
        <b/>
        <sz val="11"/>
        <color theme="1"/>
        <rFont val="Calibri"/>
        <family val="2"/>
        <scheme val="minor"/>
      </rPr>
      <t xml:space="preserve">(P) </t>
    </r>
    <r>
      <rPr>
        <sz val="11"/>
        <color theme="1"/>
        <rFont val="Calibri"/>
        <family val="2"/>
        <scheme val="minor"/>
      </rPr>
      <t xml:space="preserve"> = Payroll Salaries of Custodial, Maintenance, Grounds &amp; Management Personnel 
         Average Expense per square foot including grounds </t>
    </r>
  </si>
  <si>
    <t>Conversion to Expense per SQ FT</t>
  </si>
  <si>
    <t>Historical FY</t>
  </si>
  <si>
    <t>HISTORICAL FISCAL YEAR &amp; PROJECTED STAFFING WORKSHEET</t>
  </si>
  <si>
    <t>HISTORICAL FY</t>
  </si>
  <si>
    <t>Historical FY:</t>
  </si>
  <si>
    <t xml:space="preserve">
Historical
Fiscal Year
Expenses</t>
  </si>
  <si>
    <t>Developed by Facility Planning, Construction &amp; District Support Services at RSCCD</t>
  </si>
  <si>
    <t>Developed by Facility Planning, Construction &amp; Disctrict Support Services at RSCCD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</si>
</sst>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"/>
    <numFmt numFmtId="165" formatCode="0.0000"/>
    <numFmt numFmtId="166" formatCode="&quot;$&quot;#,##0.00"/>
    <numFmt numFmtId="167" formatCode="&quot;$&quot;#,##0"/>
    <numFmt numFmtId="168" formatCode="&quot;$&quot;#,##0.0000"/>
    <numFmt numFmtId="169" formatCode="#,##0.0000"/>
    <numFmt numFmtId="170" formatCode="_(&quot;$&quot;* #,##0.0000_);_(&quot;$&quot;* \(#,##0.0000\);_(&quot;$&quot;* &quot;-&quot;????_);_(@_)"/>
    <numFmt numFmtId="171" formatCode="0.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color rgb="FFFF0000"/>
      <name val="Calibri"/>
      <family val="2"/>
      <scheme val="minor"/>
    </font>
    <font>
      <b/>
      <sz val="12"/>
      <color rgb="FFFB46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 "/>
    </font>
    <font>
      <b/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</font>
    <font>
      <sz val="28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0" fillId="10" borderId="0" xfId="0" applyFill="1"/>
    <xf numFmtId="0" fontId="1" fillId="13" borderId="1" xfId="0" applyFont="1" applyFill="1" applyBorder="1" applyAlignment="1">
      <alignment horizontal="center"/>
    </xf>
    <xf numFmtId="0" fontId="0" fillId="16" borderId="0" xfId="0" applyFill="1"/>
    <xf numFmtId="0" fontId="21" fillId="0" borderId="0" xfId="0" applyFont="1"/>
    <xf numFmtId="0" fontId="20" fillId="9" borderId="4" xfId="0" applyFont="1" applyFill="1" applyBorder="1" applyProtection="1">
      <protection locked="0"/>
    </xf>
    <xf numFmtId="3" fontId="0" fillId="9" borderId="4" xfId="0" applyNumberFormat="1" applyFill="1" applyBorder="1" applyProtection="1">
      <protection locked="0"/>
    </xf>
    <xf numFmtId="4" fontId="0" fillId="9" borderId="4" xfId="0" applyNumberFormat="1" applyFill="1" applyBorder="1" applyProtection="1">
      <protection locked="0"/>
    </xf>
    <xf numFmtId="167" fontId="20" fillId="9" borderId="44" xfId="0" applyNumberFormat="1" applyFont="1" applyFill="1" applyBorder="1" applyProtection="1">
      <protection locked="0"/>
    </xf>
    <xf numFmtId="167" fontId="20" fillId="9" borderId="45" xfId="0" applyNumberFormat="1" applyFont="1" applyFill="1" applyBorder="1" applyProtection="1">
      <protection locked="0"/>
    </xf>
    <xf numFmtId="167" fontId="20" fillId="9" borderId="47" xfId="0" applyNumberFormat="1" applyFont="1" applyFill="1" applyBorder="1" applyProtection="1">
      <protection locked="0"/>
    </xf>
    <xf numFmtId="167" fontId="20" fillId="9" borderId="46" xfId="0" applyNumberFormat="1" applyFont="1" applyFill="1" applyBorder="1" applyProtection="1">
      <protection locked="0"/>
    </xf>
    <xf numFmtId="167" fontId="20" fillId="9" borderId="48" xfId="0" applyNumberFormat="1" applyFont="1" applyFill="1" applyBorder="1" applyProtection="1">
      <protection locked="0"/>
    </xf>
    <xf numFmtId="167" fontId="20" fillId="9" borderId="4" xfId="0" applyNumberFormat="1" applyFont="1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6" fillId="0" borderId="9" xfId="0" applyFont="1" applyBorder="1"/>
    <xf numFmtId="0" fontId="1" fillId="3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1" fillId="5" borderId="5" xfId="0" applyFont="1" applyFill="1" applyBorder="1"/>
    <xf numFmtId="0" fontId="0" fillId="5" borderId="6" xfId="0" applyFill="1" applyBorder="1"/>
    <xf numFmtId="0" fontId="0" fillId="16" borderId="6" xfId="0" applyFill="1" applyBorder="1"/>
    <xf numFmtId="0" fontId="0" fillId="16" borderId="7" xfId="0" applyFill="1" applyBorder="1"/>
    <xf numFmtId="0" fontId="0" fillId="16" borderId="0" xfId="0" applyFill="1" applyAlignment="1">
      <alignment horizontal="center"/>
    </xf>
    <xf numFmtId="42" fontId="0" fillId="16" borderId="4" xfId="0" quotePrefix="1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7" fillId="0" borderId="0" xfId="0" quotePrefix="1" applyFont="1" applyAlignment="1">
      <alignment horizontal="center"/>
    </xf>
    <xf numFmtId="3" fontId="27" fillId="0" borderId="0" xfId="0" applyNumberFormat="1" applyFont="1" applyAlignment="1">
      <alignment horizontal="center"/>
    </xf>
    <xf numFmtId="164" fontId="27" fillId="0" borderId="0" xfId="0" quotePrefix="1" applyNumberFormat="1" applyFont="1" applyAlignment="1">
      <alignment horizontal="center"/>
    </xf>
    <xf numFmtId="3" fontId="27" fillId="0" borderId="0" xfId="0" quotePrefix="1" applyNumberFormat="1" applyFont="1" applyAlignment="1">
      <alignment horizontal="center"/>
    </xf>
    <xf numFmtId="166" fontId="28" fillId="0" borderId="0" xfId="0" applyNumberFormat="1" applyFont="1"/>
    <xf numFmtId="165" fontId="28" fillId="0" borderId="0" xfId="0" applyNumberFormat="1" applyFont="1"/>
    <xf numFmtId="0" fontId="0" fillId="9" borderId="6" xfId="0" applyFill="1" applyBorder="1"/>
    <xf numFmtId="0" fontId="0" fillId="0" borderId="0" xfId="0" applyAlignment="1">
      <alignment horizontal="center" wrapText="1"/>
    </xf>
    <xf numFmtId="0" fontId="0" fillId="0" borderId="9" xfId="0" applyBorder="1"/>
    <xf numFmtId="0" fontId="0" fillId="5" borderId="7" xfId="0" applyFill="1" applyBorder="1"/>
    <xf numFmtId="0" fontId="0" fillId="0" borderId="3" xfId="0" applyBorder="1"/>
    <xf numFmtId="0" fontId="1" fillId="13" borderId="42" xfId="0" applyFont="1" applyFill="1" applyBorder="1" applyAlignment="1">
      <alignment horizontal="center"/>
    </xf>
    <xf numFmtId="3" fontId="3" fillId="9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9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0" fillId="2" borderId="2" xfId="0" applyFill="1" applyBorder="1"/>
    <xf numFmtId="0" fontId="1" fillId="3" borderId="5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4" fillId="3" borderId="5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3" fontId="17" fillId="4" borderId="55" xfId="0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3" fontId="17" fillId="7" borderId="1" xfId="0" applyNumberFormat="1" applyFont="1" applyFill="1" applyBorder="1" applyAlignment="1">
      <alignment horizontal="center"/>
    </xf>
    <xf numFmtId="3" fontId="17" fillId="8" borderId="1" xfId="0" applyNumberFormat="1" applyFont="1" applyFill="1" applyBorder="1" applyAlignment="1">
      <alignment horizontal="center"/>
    </xf>
    <xf numFmtId="0" fontId="30" fillId="2" borderId="39" xfId="0" applyFont="1" applyFill="1" applyBorder="1"/>
    <xf numFmtId="0" fontId="30" fillId="2" borderId="0" xfId="0" applyFont="1" applyFill="1"/>
    <xf numFmtId="0" fontId="1" fillId="13" borderId="55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wrapText="1"/>
    </xf>
    <xf numFmtId="0" fontId="1" fillId="13" borderId="4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13" borderId="27" xfId="0" applyFont="1" applyFill="1" applyBorder="1" applyAlignment="1">
      <alignment horizontal="center" wrapText="1"/>
    </xf>
    <xf numFmtId="0" fontId="1" fillId="13" borderId="42" xfId="0" applyFont="1" applyFill="1" applyBorder="1" applyAlignment="1">
      <alignment horizontal="center" wrapText="1"/>
    </xf>
    <xf numFmtId="0" fontId="1" fillId="13" borderId="58" xfId="0" applyFont="1" applyFill="1" applyBorder="1" applyAlignment="1">
      <alignment horizontal="center" wrapText="1"/>
    </xf>
    <xf numFmtId="0" fontId="21" fillId="15" borderId="55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center"/>
    </xf>
    <xf numFmtId="3" fontId="19" fillId="15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center"/>
    </xf>
    <xf numFmtId="0" fontId="19" fillId="15" borderId="54" xfId="0" quotePrefix="1" applyFont="1" applyFill="1" applyBorder="1" applyAlignment="1">
      <alignment horizontal="center"/>
    </xf>
    <xf numFmtId="164" fontId="19" fillId="15" borderId="42" xfId="0" quotePrefix="1" applyNumberFormat="1" applyFont="1" applyFill="1" applyBorder="1" applyAlignment="1">
      <alignment horizontal="center"/>
    </xf>
    <xf numFmtId="3" fontId="19" fillId="15" borderId="42" xfId="0" applyNumberFormat="1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167" fontId="19" fillId="15" borderId="1" xfId="0" applyNumberFormat="1" applyFont="1" applyFill="1" applyBorder="1"/>
    <xf numFmtId="165" fontId="19" fillId="15" borderId="42" xfId="0" applyNumberFormat="1" applyFont="1" applyFill="1" applyBorder="1"/>
    <xf numFmtId="167" fontId="19" fillId="15" borderId="42" xfId="0" applyNumberFormat="1" applyFont="1" applyFill="1" applyBorder="1"/>
    <xf numFmtId="167" fontId="19" fillId="15" borderId="58" xfId="0" applyNumberFormat="1" applyFont="1" applyFill="1" applyBorder="1"/>
    <xf numFmtId="0" fontId="3" fillId="2" borderId="2" xfId="0" quotePrefix="1" applyFont="1" applyFill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164" fontId="29" fillId="0" borderId="16" xfId="0" applyNumberFormat="1" applyFont="1" applyBorder="1" applyAlignment="1">
      <alignment horizontal="center"/>
    </xf>
    <xf numFmtId="0" fontId="29" fillId="0" borderId="16" xfId="0" quotePrefix="1" applyFont="1" applyBorder="1" applyAlignment="1">
      <alignment horizontal="center"/>
    </xf>
    <xf numFmtId="0" fontId="29" fillId="0" borderId="0" xfId="0" quotePrefix="1" applyFont="1" applyAlignment="1">
      <alignment horizontal="center"/>
    </xf>
    <xf numFmtId="164" fontId="29" fillId="0" borderId="0" xfId="0" quotePrefix="1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0" xfId="0" quotePrefix="1" applyNumberFormat="1" applyFont="1" applyAlignment="1">
      <alignment horizontal="center"/>
    </xf>
    <xf numFmtId="166" fontId="30" fillId="0" borderId="0" xfId="0" applyNumberFormat="1" applyFont="1"/>
    <xf numFmtId="165" fontId="30" fillId="0" borderId="0" xfId="0" applyNumberFormat="1" applyFont="1"/>
    <xf numFmtId="166" fontId="30" fillId="0" borderId="30" xfId="0" applyNumberFormat="1" applyFont="1" applyBorder="1"/>
    <xf numFmtId="3" fontId="17" fillId="4" borderId="1" xfId="0" applyNumberFormat="1" applyFont="1" applyFill="1" applyBorder="1" applyAlignment="1">
      <alignment horizontal="center"/>
    </xf>
    <xf numFmtId="0" fontId="28" fillId="2" borderId="0" xfId="0" applyFont="1" applyFill="1"/>
    <xf numFmtId="0" fontId="0" fillId="2" borderId="0" xfId="0" applyFill="1"/>
    <xf numFmtId="0" fontId="19" fillId="2" borderId="2" xfId="0" quotePrefix="1" applyFont="1" applyFill="1" applyBorder="1" applyAlignment="1">
      <alignment horizontal="center"/>
    </xf>
    <xf numFmtId="0" fontId="1" fillId="13" borderId="54" xfId="0" applyFont="1" applyFill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3" fillId="0" borderId="29" xfId="0" quotePrefix="1" applyFont="1" applyBorder="1" applyAlignment="1">
      <alignment horizontal="center"/>
    </xf>
    <xf numFmtId="164" fontId="3" fillId="0" borderId="29" xfId="0" quotePrefix="1" applyNumberFormat="1" applyFont="1" applyBorder="1" applyAlignment="1">
      <alignment horizontal="center"/>
    </xf>
    <xf numFmtId="3" fontId="17" fillId="4" borderId="1" xfId="0" applyNumberFormat="1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wrapText="1"/>
    </xf>
    <xf numFmtId="3" fontId="17" fillId="6" borderId="1" xfId="0" applyNumberFormat="1" applyFont="1" applyFill="1" applyBorder="1" applyAlignment="1">
      <alignment horizontal="center" wrapText="1"/>
    </xf>
    <xf numFmtId="3" fontId="17" fillId="7" borderId="1" xfId="0" applyNumberFormat="1" applyFont="1" applyFill="1" applyBorder="1" applyAlignment="1">
      <alignment horizontal="center" wrapText="1"/>
    </xf>
    <xf numFmtId="3" fontId="17" fillId="11" borderId="1" xfId="0" applyNumberFormat="1" applyFont="1" applyFill="1" applyBorder="1" applyAlignment="1">
      <alignment horizontal="center" wrapText="1"/>
    </xf>
    <xf numFmtId="0" fontId="1" fillId="13" borderId="28" xfId="0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/>
    </xf>
    <xf numFmtId="3" fontId="0" fillId="9" borderId="50" xfId="0" applyNumberFormat="1" applyFill="1" applyBorder="1" applyProtection="1">
      <protection locked="0"/>
    </xf>
    <xf numFmtId="0" fontId="0" fillId="4" borderId="0" xfId="0" applyFill="1" applyAlignment="1">
      <alignment horizontal="center" wrapText="1"/>
    </xf>
    <xf numFmtId="0" fontId="0" fillId="4" borderId="0" xfId="0" applyFill="1"/>
    <xf numFmtId="166" fontId="0" fillId="0" borderId="3" xfId="0" applyNumberFormat="1" applyBorder="1"/>
    <xf numFmtId="167" fontId="0" fillId="4" borderId="0" xfId="0" applyNumberFormat="1" applyFill="1"/>
    <xf numFmtId="168" fontId="0" fillId="4" borderId="0" xfId="0" applyNumberFormat="1" applyFill="1"/>
    <xf numFmtId="0" fontId="0" fillId="9" borderId="0" xfId="0" applyFill="1"/>
    <xf numFmtId="168" fontId="0" fillId="9" borderId="0" xfId="0" applyNumberFormat="1" applyFill="1"/>
    <xf numFmtId="0" fontId="9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6" fillId="0" borderId="0" xfId="0" applyFont="1" applyAlignment="1">
      <alignment horizontal="center"/>
    </xf>
    <xf numFmtId="0" fontId="3" fillId="0" borderId="0" xfId="0" applyFont="1"/>
    <xf numFmtId="0" fontId="15" fillId="0" borderId="0" xfId="0" applyFont="1"/>
    <xf numFmtId="0" fontId="4" fillId="13" borderId="1" xfId="0" applyFont="1" applyFill="1" applyBorder="1" applyAlignment="1">
      <alignment horizontal="center"/>
    </xf>
    <xf numFmtId="0" fontId="10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4" fontId="3" fillId="0" borderId="13" xfId="0" applyNumberFormat="1" applyFont="1" applyBorder="1" applyAlignment="1">
      <alignment horizontal="right" vertical="center" wrapText="1"/>
    </xf>
    <xf numFmtId="9" fontId="22" fillId="0" borderId="12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9" fontId="22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9" fontId="22" fillId="0" borderId="0" xfId="0" applyNumberFormat="1" applyFont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13" borderId="4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42" fontId="4" fillId="5" borderId="42" xfId="0" applyNumberFormat="1" applyFont="1" applyFill="1" applyBorder="1" applyAlignment="1">
      <alignment horizontal="right" vertical="center" wrapText="1"/>
    </xf>
    <xf numFmtId="5" fontId="3" fillId="17" borderId="20" xfId="0" applyNumberFormat="1" applyFont="1" applyFill="1" applyBorder="1" applyAlignment="1">
      <alignment horizontal="right" vertical="center" wrapText="1"/>
    </xf>
    <xf numFmtId="5" fontId="3" fillId="17" borderId="37" xfId="0" applyNumberFormat="1" applyFont="1" applyFill="1" applyBorder="1" applyAlignment="1">
      <alignment horizontal="right" vertical="center" wrapText="1"/>
    </xf>
    <xf numFmtId="0" fontId="0" fillId="0" borderId="4" xfId="0" applyBorder="1"/>
    <xf numFmtId="37" fontId="3" fillId="17" borderId="4" xfId="0" applyNumberFormat="1" applyFont="1" applyFill="1" applyBorder="1" applyAlignment="1">
      <alignment horizontal="right" vertical="center" wrapText="1"/>
    </xf>
    <xf numFmtId="37" fontId="3" fillId="17" borderId="5" xfId="0" applyNumberFormat="1" applyFont="1" applyFill="1" applyBorder="1" applyAlignment="1">
      <alignment horizontal="right" vertical="center" wrapText="1"/>
    </xf>
    <xf numFmtId="5" fontId="3" fillId="17" borderId="4" xfId="0" applyNumberFormat="1" applyFont="1" applyFill="1" applyBorder="1" applyAlignment="1">
      <alignment horizontal="right" vertical="center" wrapText="1"/>
    </xf>
    <xf numFmtId="5" fontId="3" fillId="17" borderId="5" xfId="0" applyNumberFormat="1" applyFont="1" applyFill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53" xfId="0" applyNumberFormat="1" applyFont="1" applyBorder="1" applyAlignment="1">
      <alignment horizontal="right" vertical="center" wrapText="1"/>
    </xf>
    <xf numFmtId="3" fontId="3" fillId="14" borderId="5" xfId="0" applyNumberFormat="1" applyFont="1" applyFill="1" applyBorder="1" applyAlignment="1">
      <alignment horizontal="right" vertical="center" wrapText="1"/>
    </xf>
    <xf numFmtId="3" fontId="3" fillId="14" borderId="6" xfId="0" applyNumberFormat="1" applyFont="1" applyFill="1" applyBorder="1" applyAlignment="1">
      <alignment horizontal="right" vertical="center" wrapText="1"/>
    </xf>
    <xf numFmtId="0" fontId="0" fillId="13" borderId="4" xfId="0" applyFill="1" applyBorder="1"/>
    <xf numFmtId="3" fontId="10" fillId="5" borderId="50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/>
    </xf>
    <xf numFmtId="0" fontId="1" fillId="13" borderId="26" xfId="0" applyFont="1" applyFill="1" applyBorder="1" applyAlignment="1">
      <alignment horizontal="center" vertical="center"/>
    </xf>
    <xf numFmtId="0" fontId="1" fillId="13" borderId="53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/>
    </xf>
    <xf numFmtId="3" fontId="3" fillId="13" borderId="4" xfId="0" applyNumberFormat="1" applyFont="1" applyFill="1" applyBorder="1" applyAlignment="1">
      <alignment horizontal="right" vertical="center" wrapText="1"/>
    </xf>
    <xf numFmtId="42" fontId="0" fillId="0" borderId="8" xfId="0" applyNumberFormat="1" applyBorder="1" applyProtection="1">
      <protection hidden="1"/>
    </xf>
    <xf numFmtId="167" fontId="0" fillId="0" borderId="8" xfId="0" applyNumberFormat="1" applyBorder="1" applyProtection="1">
      <protection hidden="1"/>
    </xf>
    <xf numFmtId="42" fontId="18" fillId="0" borderId="0" xfId="0" applyNumberFormat="1" applyFont="1" applyProtection="1">
      <protection hidden="1"/>
    </xf>
    <xf numFmtId="44" fontId="0" fillId="0" borderId="0" xfId="0" applyNumberFormat="1" applyProtection="1">
      <protection hidden="1"/>
    </xf>
    <xf numFmtId="42" fontId="0" fillId="0" borderId="0" xfId="0" applyNumberFormat="1" applyProtection="1">
      <protection hidden="1"/>
    </xf>
    <xf numFmtId="42" fontId="1" fillId="0" borderId="1" xfId="0" applyNumberFormat="1" applyFont="1" applyBorder="1" applyProtection="1">
      <protection hidden="1"/>
    </xf>
    <xf numFmtId="42" fontId="0" fillId="0" borderId="17" xfId="0" applyNumberFormat="1" applyBorder="1" applyProtection="1">
      <protection hidden="1"/>
    </xf>
    <xf numFmtId="42" fontId="1" fillId="0" borderId="27" xfId="0" applyNumberFormat="1" applyFont="1" applyBorder="1" applyProtection="1">
      <protection hidden="1"/>
    </xf>
    <xf numFmtId="3" fontId="0" fillId="3" borderId="8" xfId="0" applyNumberFormat="1" applyFill="1" applyBorder="1" applyProtection="1">
      <protection hidden="1"/>
    </xf>
    <xf numFmtId="3" fontId="0" fillId="3" borderId="1" xfId="0" applyNumberFormat="1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27" xfId="0" applyFill="1" applyBorder="1" applyAlignment="1" applyProtection="1">
      <alignment horizontal="center"/>
      <protection hidden="1"/>
    </xf>
    <xf numFmtId="167" fontId="0" fillId="3" borderId="1" xfId="0" applyNumberFormat="1" applyFill="1" applyBorder="1" applyProtection="1">
      <protection hidden="1"/>
    </xf>
    <xf numFmtId="167" fontId="0" fillId="3" borderId="27" xfId="0" applyNumberFormat="1" applyFill="1" applyBorder="1" applyProtection="1">
      <protection hidden="1"/>
    </xf>
    <xf numFmtId="167" fontId="1" fillId="3" borderId="1" xfId="0" applyNumberFormat="1" applyFont="1" applyFill="1" applyBorder="1" applyProtection="1">
      <protection hidden="1"/>
    </xf>
    <xf numFmtId="168" fontId="0" fillId="3" borderId="1" xfId="0" applyNumberFormat="1" applyFill="1" applyBorder="1" applyProtection="1">
      <protection hidden="1"/>
    </xf>
    <xf numFmtId="168" fontId="1" fillId="3" borderId="1" xfId="0" applyNumberFormat="1" applyFont="1" applyFill="1" applyBorder="1" applyProtection="1">
      <protection hidden="1"/>
    </xf>
    <xf numFmtId="168" fontId="1" fillId="3" borderId="49" xfId="0" applyNumberFormat="1" applyFont="1" applyFill="1" applyBorder="1" applyProtection="1">
      <protection hidden="1"/>
    </xf>
    <xf numFmtId="3" fontId="3" fillId="0" borderId="36" xfId="0" applyNumberFormat="1" applyFont="1" applyBorder="1" applyProtection="1">
      <protection hidden="1"/>
    </xf>
    <xf numFmtId="3" fontId="4" fillId="0" borderId="1" xfId="0" applyNumberFormat="1" applyFont="1" applyBorder="1" applyAlignment="1" applyProtection="1">
      <alignment horizontal="right"/>
      <protection hidden="1"/>
    </xf>
    <xf numFmtId="41" fontId="10" fillId="4" borderId="2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23" xfId="0" applyNumberFormat="1" applyFont="1" applyBorder="1" applyAlignment="1" applyProtection="1">
      <alignment horizontal="right" vertical="center" wrapText="1"/>
      <protection hidden="1"/>
    </xf>
    <xf numFmtId="3" fontId="10" fillId="0" borderId="6" xfId="0" applyNumberFormat="1" applyFont="1" applyBorder="1" applyAlignment="1" applyProtection="1">
      <alignment horizontal="right" vertical="center" wrapText="1"/>
      <protection hidden="1"/>
    </xf>
    <xf numFmtId="41" fontId="3" fillId="0" borderId="4" xfId="0" applyNumberFormat="1" applyFont="1" applyBorder="1" applyProtection="1">
      <protection hidden="1"/>
    </xf>
    <xf numFmtId="3" fontId="10" fillId="4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4" xfId="0" applyNumberFormat="1" applyFont="1" applyBorder="1" applyAlignment="1" applyProtection="1">
      <alignment horizontal="right" vertical="center" wrapText="1"/>
      <protection hidden="1"/>
    </xf>
    <xf numFmtId="3" fontId="10" fillId="0" borderId="53" xfId="0" applyNumberFormat="1" applyFont="1" applyBorder="1" applyAlignment="1" applyProtection="1">
      <alignment horizontal="right" vertical="center" wrapText="1"/>
      <protection hidden="1"/>
    </xf>
    <xf numFmtId="3" fontId="10" fillId="6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6" borderId="1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1" xfId="0" applyNumberFormat="1" applyFont="1" applyBorder="1" applyAlignment="1" applyProtection="1">
      <alignment horizontal="right" vertical="center" wrapText="1"/>
      <protection hidden="1"/>
    </xf>
    <xf numFmtId="3" fontId="10" fillId="0" borderId="35" xfId="0" applyNumberFormat="1" applyFont="1" applyBorder="1" applyAlignment="1" applyProtection="1">
      <alignment horizontal="right" vertical="center" wrapText="1"/>
      <protection hidden="1"/>
    </xf>
    <xf numFmtId="3" fontId="3" fillId="3" borderId="25" xfId="0" applyNumberFormat="1" applyFont="1" applyFill="1" applyBorder="1" applyAlignment="1" applyProtection="1">
      <alignment horizontal="right" vertical="center" wrapText="1"/>
      <protection hidden="1"/>
    </xf>
    <xf numFmtId="3" fontId="3" fillId="3" borderId="9" xfId="0" applyNumberFormat="1" applyFont="1" applyFill="1" applyBorder="1" applyAlignment="1" applyProtection="1">
      <alignment horizontal="right" vertical="center" wrapText="1"/>
      <protection hidden="1"/>
    </xf>
    <xf numFmtId="167" fontId="14" fillId="0" borderId="14" xfId="0" applyNumberFormat="1" applyFont="1" applyBorder="1" applyAlignment="1" applyProtection="1">
      <alignment horizontal="right" vertical="center" wrapText="1"/>
      <protection hidden="1"/>
    </xf>
    <xf numFmtId="167" fontId="14" fillId="0" borderId="53" xfId="0" applyNumberFormat="1" applyFont="1" applyBorder="1" applyAlignment="1" applyProtection="1">
      <alignment horizontal="right" vertical="center" wrapText="1"/>
      <protection hidden="1"/>
    </xf>
    <xf numFmtId="167" fontId="14" fillId="0" borderId="4" xfId="0" applyNumberFormat="1" applyFont="1" applyBorder="1" applyAlignment="1" applyProtection="1">
      <alignment horizontal="right" vertical="center" wrapText="1"/>
      <protection hidden="1"/>
    </xf>
    <xf numFmtId="170" fontId="4" fillId="4" borderId="12" xfId="0" applyNumberFormat="1" applyFont="1" applyFill="1" applyBorder="1" applyAlignment="1" applyProtection="1">
      <alignment horizontal="right" vertical="center" wrapText="1"/>
      <protection hidden="1"/>
    </xf>
    <xf numFmtId="170" fontId="4" fillId="4" borderId="14" xfId="0" applyNumberFormat="1" applyFont="1" applyFill="1" applyBorder="1" applyAlignment="1" applyProtection="1">
      <alignment horizontal="right" vertical="center" wrapText="1"/>
      <protection hidden="1"/>
    </xf>
    <xf numFmtId="170" fontId="4" fillId="6" borderId="14" xfId="0" applyNumberFormat="1" applyFont="1" applyFill="1" applyBorder="1" applyAlignment="1" applyProtection="1">
      <alignment horizontal="right" vertical="center" wrapText="1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16" fontId="4" fillId="12" borderId="4" xfId="0" quotePrefix="1" applyNumberFormat="1" applyFont="1" applyFill="1" applyBorder="1" applyAlignment="1" applyProtection="1">
      <alignment horizontal="center"/>
      <protection hidden="1"/>
    </xf>
    <xf numFmtId="2" fontId="4" fillId="12" borderId="4" xfId="0" applyNumberFormat="1" applyFont="1" applyFill="1" applyBorder="1" applyAlignment="1" applyProtection="1">
      <alignment horizontal="center" vertical="center"/>
      <protection hidden="1"/>
    </xf>
    <xf numFmtId="3" fontId="4" fillId="12" borderId="4" xfId="0" applyNumberFormat="1" applyFont="1" applyFill="1" applyBorder="1" applyProtection="1">
      <protection hidden="1"/>
    </xf>
    <xf numFmtId="0" fontId="19" fillId="0" borderId="42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 wrapText="1"/>
      <protection hidden="1"/>
    </xf>
    <xf numFmtId="3" fontId="19" fillId="0" borderId="42" xfId="0" applyNumberFormat="1" applyFont="1" applyBorder="1" applyAlignment="1" applyProtection="1">
      <alignment horizontal="center"/>
      <protection hidden="1"/>
    </xf>
    <xf numFmtId="164" fontId="19" fillId="0" borderId="42" xfId="0" applyNumberFormat="1" applyFont="1" applyBorder="1" applyAlignment="1" applyProtection="1">
      <alignment horizontal="center"/>
      <protection hidden="1"/>
    </xf>
    <xf numFmtId="164" fontId="19" fillId="17" borderId="54" xfId="0" quotePrefix="1" applyNumberFormat="1" applyFont="1" applyFill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/>
      <protection hidden="1"/>
    </xf>
    <xf numFmtId="164" fontId="19" fillId="0" borderId="1" xfId="0" applyNumberFormat="1" applyFont="1" applyBorder="1" applyAlignment="1" applyProtection="1">
      <alignment horizontal="center"/>
      <protection hidden="1"/>
    </xf>
    <xf numFmtId="164" fontId="19" fillId="17" borderId="27" xfId="0" quotePrefix="1" applyNumberFormat="1" applyFont="1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3" fontId="0" fillId="0" borderId="8" xfId="0" applyNumberFormat="1" applyBorder="1" applyProtection="1">
      <protection hidden="1"/>
    </xf>
    <xf numFmtId="10" fontId="0" fillId="9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Alignment="1" applyProtection="1">
      <alignment horizontal="center"/>
      <protection hidden="1"/>
    </xf>
    <xf numFmtId="3" fontId="0" fillId="16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Protection="1">
      <protection hidden="1"/>
    </xf>
    <xf numFmtId="42" fontId="0" fillId="16" borderId="8" xfId="0" applyNumberFormat="1" applyFill="1" applyBorder="1" applyProtection="1">
      <protection hidden="1"/>
    </xf>
    <xf numFmtId="42" fontId="8" fillId="0" borderId="8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3" fontId="0" fillId="0" borderId="1" xfId="0" applyNumberFormat="1" applyBorder="1" applyProtection="1">
      <protection hidden="1"/>
    </xf>
    <xf numFmtId="10" fontId="0" fillId="9" borderId="1" xfId="0" applyNumberFormat="1" applyFill="1" applyBorder="1" applyAlignment="1" applyProtection="1">
      <alignment horizontal="center"/>
      <protection hidden="1"/>
    </xf>
    <xf numFmtId="0" fontId="0" fillId="16" borderId="1" xfId="0" applyFill="1" applyBorder="1" applyAlignment="1" applyProtection="1">
      <alignment horizontal="center"/>
      <protection hidden="1"/>
    </xf>
    <xf numFmtId="0" fontId="0" fillId="16" borderId="1" xfId="0" applyFill="1" applyBorder="1" applyProtection="1">
      <protection hidden="1"/>
    </xf>
    <xf numFmtId="42" fontId="0" fillId="16" borderId="1" xfId="0" applyNumberFormat="1" applyFill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3" fontId="0" fillId="16" borderId="1" xfId="0" applyNumberFormat="1" applyFill="1" applyBorder="1" applyAlignment="1" applyProtection="1">
      <alignment horizontal="center"/>
      <protection hidden="1"/>
    </xf>
    <xf numFmtId="3" fontId="8" fillId="0" borderId="1" xfId="0" applyNumberFormat="1" applyFont="1" applyBorder="1" applyProtection="1">
      <protection hidden="1"/>
    </xf>
    <xf numFmtId="167" fontId="0" fillId="0" borderId="1" xfId="0" applyNumberFormat="1" applyBorder="1" applyProtection="1"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16" borderId="0" xfId="0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13" borderId="1" xfId="0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1" fillId="13" borderId="42" xfId="0" applyFont="1" applyFill="1" applyBorder="1" applyAlignment="1" applyProtection="1">
      <alignment horizontal="center"/>
      <protection hidden="1"/>
    </xf>
    <xf numFmtId="0" fontId="1" fillId="13" borderId="8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3" fontId="0" fillId="0" borderId="30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32" xfId="0" applyBorder="1" applyProtection="1">
      <protection hidden="1"/>
    </xf>
    <xf numFmtId="0" fontId="33" fillId="0" borderId="9" xfId="0" applyFont="1" applyBorder="1"/>
    <xf numFmtId="0" fontId="2" fillId="13" borderId="1" xfId="0" applyFont="1" applyFill="1" applyBorder="1" applyAlignment="1" applyProtection="1">
      <alignment horizontal="center" wrapText="1"/>
      <protection hidden="1"/>
    </xf>
    <xf numFmtId="0" fontId="2" fillId="3" borderId="19" xfId="0" applyFont="1" applyFill="1" applyBorder="1" applyProtection="1">
      <protection hidden="1"/>
    </xf>
    <xf numFmtId="0" fontId="2" fillId="3" borderId="37" xfId="0" applyFont="1" applyFill="1" applyBorder="1" applyProtection="1">
      <protection hidden="1"/>
    </xf>
    <xf numFmtId="0" fontId="0" fillId="3" borderId="37" xfId="0" applyFill="1" applyBorder="1" applyProtection="1">
      <protection hidden="1"/>
    </xf>
    <xf numFmtId="0" fontId="0" fillId="3" borderId="37" xfId="0" applyFill="1" applyBorder="1" applyAlignment="1" applyProtection="1">
      <alignment horizontal="center"/>
      <protection hidden="1"/>
    </xf>
    <xf numFmtId="0" fontId="0" fillId="3" borderId="37" xfId="0" applyFill="1" applyBorder="1"/>
    <xf numFmtId="0" fontId="0" fillId="3" borderId="20" xfId="0" applyFill="1" applyBorder="1"/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/>
    <xf numFmtId="0" fontId="0" fillId="3" borderId="40" xfId="0" applyFill="1" applyBorder="1"/>
    <xf numFmtId="44" fontId="0" fillId="3" borderId="0" xfId="0" applyNumberFormat="1" applyFill="1" applyProtection="1">
      <protection hidden="1"/>
    </xf>
    <xf numFmtId="42" fontId="0" fillId="3" borderId="0" xfId="0" applyNumberFormat="1" applyFill="1"/>
    <xf numFmtId="0" fontId="0" fillId="3" borderId="39" xfId="0" applyFill="1" applyBorder="1" applyProtection="1">
      <protection hidden="1"/>
    </xf>
    <xf numFmtId="0" fontId="0" fillId="3" borderId="0" xfId="0" applyFill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33" xfId="0" applyFill="1" applyBorder="1"/>
    <xf numFmtId="42" fontId="18" fillId="4" borderId="0" xfId="0" applyNumberFormat="1" applyFont="1" applyFill="1" applyProtection="1">
      <protection hidden="1"/>
    </xf>
    <xf numFmtId="44" fontId="0" fillId="4" borderId="0" xfId="0" applyNumberFormat="1" applyFill="1" applyProtection="1">
      <protection hidden="1"/>
    </xf>
    <xf numFmtId="0" fontId="3" fillId="3" borderId="4" xfId="0" applyFont="1" applyFill="1" applyBorder="1" applyAlignment="1">
      <alignment horizontal="center" wrapText="1"/>
    </xf>
    <xf numFmtId="171" fontId="19" fillId="9" borderId="7" xfId="0" quotePrefix="1" applyNumberFormat="1" applyFont="1" applyFill="1" applyBorder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164" fontId="19" fillId="17" borderId="55" xfId="0" quotePrefix="1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166" fontId="0" fillId="0" borderId="0" xfId="0" applyNumberFormat="1"/>
    <xf numFmtId="165" fontId="0" fillId="0" borderId="0" xfId="0" applyNumberFormat="1"/>
    <xf numFmtId="166" fontId="0" fillId="0" borderId="30" xfId="0" applyNumberFormat="1" applyBorder="1"/>
    <xf numFmtId="3" fontId="3" fillId="0" borderId="16" xfId="0" applyNumberFormat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167" fontId="20" fillId="9" borderId="60" xfId="0" applyNumberFormat="1" applyFont="1" applyFill="1" applyBorder="1" applyProtection="1">
      <protection locked="0"/>
    </xf>
    <xf numFmtId="0" fontId="0" fillId="0" borderId="43" xfId="0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13" borderId="1" xfId="0" applyFill="1" applyBorder="1" applyProtection="1">
      <protection hidden="1"/>
    </xf>
    <xf numFmtId="0" fontId="1" fillId="13" borderId="43" xfId="0" applyFont="1" applyFill="1" applyBorder="1" applyProtection="1">
      <protection hidden="1"/>
    </xf>
    <xf numFmtId="0" fontId="1" fillId="13" borderId="27" xfId="0" applyFont="1" applyFill="1" applyBorder="1" applyProtection="1">
      <protection hidden="1"/>
    </xf>
    <xf numFmtId="4" fontId="0" fillId="0" borderId="1" xfId="0" applyNumberFormat="1" applyBorder="1" applyProtection="1">
      <protection hidden="1"/>
    </xf>
    <xf numFmtId="10" fontId="0" fillId="0" borderId="1" xfId="0" applyNumberFormat="1" applyBorder="1" applyProtection="1">
      <protection hidden="1"/>
    </xf>
    <xf numFmtId="4" fontId="0" fillId="17" borderId="1" xfId="0" applyNumberFormat="1" applyFill="1" applyBorder="1" applyProtection="1">
      <protection hidden="1"/>
    </xf>
    <xf numFmtId="4" fontId="8" fillId="18" borderId="1" xfId="0" applyNumberFormat="1" applyFont="1" applyFill="1" applyBorder="1" applyAlignment="1" applyProtection="1">
      <alignment horizontal="right"/>
      <protection hidden="1"/>
    </xf>
    <xf numFmtId="2" fontId="0" fillId="17" borderId="1" xfId="0" applyNumberFormat="1" applyFill="1" applyBorder="1" applyAlignment="1" applyProtection="1">
      <alignment horizontal="right"/>
      <protection hidden="1"/>
    </xf>
    <xf numFmtId="16" fontId="19" fillId="0" borderId="1" xfId="0" quotePrefix="1" applyNumberFormat="1" applyFont="1" applyBorder="1" applyAlignment="1" applyProtection="1">
      <alignment horizontal="center"/>
      <protection hidden="1"/>
    </xf>
    <xf numFmtId="167" fontId="19" fillId="0" borderId="1" xfId="0" applyNumberFormat="1" applyFont="1" applyBorder="1" applyProtection="1">
      <protection hidden="1"/>
    </xf>
    <xf numFmtId="165" fontId="19" fillId="0" borderId="1" xfId="0" applyNumberFormat="1" applyFont="1" applyBorder="1" applyProtection="1">
      <protection hidden="1"/>
    </xf>
    <xf numFmtId="167" fontId="19" fillId="0" borderId="59" xfId="0" applyNumberFormat="1" applyFont="1" applyBorder="1" applyProtection="1">
      <protection hidden="1"/>
    </xf>
    <xf numFmtId="16" fontId="34" fillId="0" borderId="1" xfId="0" quotePrefix="1" applyNumberFormat="1" applyFont="1" applyBorder="1" applyAlignment="1" applyProtection="1">
      <alignment horizontal="center"/>
      <protection hidden="1"/>
    </xf>
    <xf numFmtId="16" fontId="34" fillId="0" borderId="43" xfId="0" quotePrefix="1" applyNumberFormat="1" applyFont="1" applyBorder="1" applyAlignment="1" applyProtection="1">
      <alignment horizontal="center"/>
      <protection hidden="1"/>
    </xf>
    <xf numFmtId="3" fontId="19" fillId="0" borderId="1" xfId="0" quotePrefix="1" applyNumberFormat="1" applyFont="1" applyBorder="1" applyAlignment="1" applyProtection="1">
      <alignment horizontal="center"/>
      <protection hidden="1"/>
    </xf>
    <xf numFmtId="0" fontId="36" fillId="0" borderId="0" xfId="0" applyFont="1"/>
    <xf numFmtId="0" fontId="17" fillId="13" borderId="43" xfId="0" applyFont="1" applyFill="1" applyBorder="1" applyAlignment="1" applyProtection="1">
      <alignment horizontal="left" wrapText="1"/>
      <protection hidden="1"/>
    </xf>
    <xf numFmtId="0" fontId="17" fillId="13" borderId="27" xfId="0" applyFont="1" applyFill="1" applyBorder="1" applyAlignment="1" applyProtection="1">
      <alignment horizontal="left" wrapText="1"/>
      <protection hidden="1"/>
    </xf>
    <xf numFmtId="0" fontId="32" fillId="0" borderId="43" xfId="0" applyFont="1" applyBorder="1" applyAlignment="1" applyProtection="1">
      <alignment horizontal="center"/>
      <protection hidden="1"/>
    </xf>
    <xf numFmtId="0" fontId="32" fillId="0" borderId="17" xfId="0" applyFont="1" applyBorder="1" applyAlignment="1" applyProtection="1">
      <alignment horizontal="center"/>
      <protection hidden="1"/>
    </xf>
    <xf numFmtId="0" fontId="32" fillId="0" borderId="27" xfId="0" applyFont="1" applyBorder="1" applyAlignment="1" applyProtection="1">
      <alignment horizontal="center"/>
      <protection hidden="1"/>
    </xf>
    <xf numFmtId="0" fontId="1" fillId="13" borderId="43" xfId="0" applyFont="1" applyFill="1" applyBorder="1" applyAlignment="1" applyProtection="1">
      <alignment horizontal="center"/>
      <protection hidden="1"/>
    </xf>
    <xf numFmtId="0" fontId="1" fillId="13" borderId="17" xfId="0" applyFont="1" applyFill="1" applyBorder="1" applyAlignment="1" applyProtection="1">
      <alignment horizontal="center"/>
      <protection hidden="1"/>
    </xf>
    <xf numFmtId="0" fontId="1" fillId="13" borderId="27" xfId="0" applyFont="1" applyFill="1" applyBorder="1" applyAlignment="1" applyProtection="1">
      <alignment horizontal="center"/>
      <protection hidden="1"/>
    </xf>
    <xf numFmtId="0" fontId="35" fillId="0" borderId="29" xfId="0" applyFont="1" applyBorder="1" applyAlignment="1">
      <alignment horizontal="left"/>
    </xf>
    <xf numFmtId="0" fontId="2" fillId="0" borderId="3" xfId="0" applyFont="1" applyBorder="1" applyAlignment="1" applyProtection="1">
      <alignment horizontal="right" vertical="center"/>
      <protection hidden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11" borderId="5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0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3" fillId="13" borderId="5" xfId="0" applyFont="1" applyFill="1" applyBorder="1" applyAlignment="1">
      <alignment horizontal="left" vertical="center" wrapText="1"/>
    </xf>
    <xf numFmtId="0" fontId="3" fillId="13" borderId="7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2"/>
    </xf>
    <xf numFmtId="0" fontId="12" fillId="0" borderId="24" xfId="0" applyFont="1" applyBorder="1" applyAlignment="1">
      <alignment horizontal="left" vertical="center" wrapText="1" indent="2"/>
    </xf>
    <xf numFmtId="0" fontId="3" fillId="12" borderId="5" xfId="0" applyFont="1" applyFill="1" applyBorder="1" applyAlignment="1">
      <alignment horizontal="right" vertical="center"/>
    </xf>
    <xf numFmtId="0" fontId="3" fillId="12" borderId="7" xfId="0" applyFont="1" applyFill="1" applyBorder="1" applyAlignment="1">
      <alignment horizontal="right" vertical="center"/>
    </xf>
    <xf numFmtId="0" fontId="0" fillId="12" borderId="5" xfId="0" applyFill="1" applyBorder="1" applyAlignment="1">
      <alignment horizontal="left"/>
    </xf>
    <xf numFmtId="0" fontId="0" fillId="12" borderId="6" xfId="0" applyFill="1" applyBorder="1" applyAlignment="1">
      <alignment horizontal="left"/>
    </xf>
    <xf numFmtId="0" fontId="0" fillId="12" borderId="7" xfId="0" applyFill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12" borderId="4" xfId="0" applyFill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0" fillId="7" borderId="4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wrapText="1"/>
    </xf>
    <xf numFmtId="0" fontId="4" fillId="13" borderId="50" xfId="0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/>
    </xf>
    <xf numFmtId="0" fontId="2" fillId="13" borderId="37" xfId="0" applyFont="1" applyFill="1" applyBorder="1" applyAlignment="1">
      <alignment horizontal="center"/>
    </xf>
    <xf numFmtId="0" fontId="3" fillId="0" borderId="5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12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39" xfId="0" applyFill="1" applyBorder="1" applyAlignment="1" applyProtection="1">
      <alignment wrapText="1"/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41" xfId="0" applyFill="1" applyBorder="1" applyAlignment="1" applyProtection="1">
      <alignment horizontal="left" wrapText="1"/>
      <protection hidden="1"/>
    </xf>
    <xf numFmtId="0" fontId="0" fillId="3" borderId="9" xfId="0" applyFill="1" applyBorder="1" applyAlignment="1" applyProtection="1">
      <alignment horizontal="left" wrapText="1"/>
      <protection hidden="1"/>
    </xf>
    <xf numFmtId="0" fontId="6" fillId="0" borderId="41" xfId="0" applyFont="1" applyBorder="1" applyAlignment="1" applyProtection="1">
      <alignment horizontal="left"/>
      <protection hidden="1"/>
    </xf>
    <xf numFmtId="0" fontId="6" fillId="0" borderId="9" xfId="0" applyFont="1" applyBorder="1" applyAlignment="1" applyProtection="1">
      <alignment horizontal="left"/>
      <protection hidden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33" xfId="0" applyFill="1" applyBorder="1" applyAlignment="1">
      <alignment horizontal="left"/>
    </xf>
    <xf numFmtId="42" fontId="1" fillId="6" borderId="5" xfId="0" applyNumberFormat="1" applyFont="1" applyFill="1" applyBorder="1" applyAlignment="1">
      <alignment horizontal="left"/>
    </xf>
    <xf numFmtId="42" fontId="1" fillId="6" borderId="7" xfId="0" applyNumberFormat="1" applyFont="1" applyFill="1" applyBorder="1" applyAlignment="1">
      <alignment horizontal="left"/>
    </xf>
    <xf numFmtId="42" fontId="1" fillId="0" borderId="0" xfId="0" applyNumberFormat="1" applyFont="1" applyAlignment="1" applyProtection="1">
      <alignment horizontal="right"/>
      <protection hidden="1"/>
    </xf>
    <xf numFmtId="0" fontId="0" fillId="5" borderId="41" xfId="0" applyFill="1" applyBorder="1" applyAlignment="1" applyProtection="1">
      <alignment horizontal="left"/>
      <protection hidden="1"/>
    </xf>
    <xf numFmtId="0" fontId="0" fillId="5" borderId="33" xfId="0" applyFill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169" fontId="0" fillId="3" borderId="0" xfId="0" applyNumberFormat="1" applyFill="1" applyAlignment="1" applyProtection="1">
      <alignment horizontal="right"/>
      <protection hidden="1"/>
    </xf>
    <xf numFmtId="169" fontId="0" fillId="3" borderId="9" xfId="0" applyNumberFormat="1" applyFill="1" applyBorder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left" wrapText="1"/>
      <protection hidden="1"/>
    </xf>
    <xf numFmtId="0" fontId="4" fillId="5" borderId="0" xfId="0" applyFont="1" applyFill="1" applyAlignment="1">
      <alignment horizontal="center" wrapText="1"/>
    </xf>
    <xf numFmtId="0" fontId="1" fillId="13" borderId="1" xfId="0" applyFont="1" applyFill="1" applyBorder="1" applyAlignment="1" applyProtection="1">
      <alignment horizontal="left" wrapText="1"/>
      <protection hidden="1"/>
    </xf>
    <xf numFmtId="0" fontId="36" fillId="0" borderId="29" xfId="0" applyFont="1" applyBorder="1" applyAlignment="1">
      <alignment horizontal="left" wrapText="1"/>
    </xf>
    <xf numFmtId="0" fontId="37" fillId="0" borderId="2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A5D4C"/>
      <color rgb="FFF82A14"/>
      <color rgb="FFFB5C4B"/>
      <color rgb="FFFB4633"/>
      <color rgb="FFC2C2C2"/>
      <color rgb="FFFAB0A8"/>
      <color rgb="FFFF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2696-268B-47CC-BD97-9FDBF549D436}">
  <sheetPr>
    <pageSetUpPr fitToPage="1"/>
  </sheetPr>
  <dimension ref="A1:J43"/>
  <sheetViews>
    <sheetView topLeftCell="A5" zoomScale="85" zoomScaleNormal="85" workbookViewId="0">
      <selection activeCell="B48" sqref="B48"/>
    </sheetView>
  </sheetViews>
  <sheetFormatPr defaultRowHeight="15"/>
  <cols>
    <col min="1" max="1" width="9.42578125" customWidth="1"/>
    <col min="2" max="2" width="62.7109375" customWidth="1"/>
    <col min="3" max="3" width="13" customWidth="1"/>
    <col min="4" max="4" width="14" customWidth="1"/>
    <col min="5" max="5" width="13.28515625" customWidth="1"/>
    <col min="6" max="6" width="14.140625" hidden="1" customWidth="1"/>
    <col min="7" max="7" width="19.28515625" hidden="1" customWidth="1"/>
    <col min="8" max="8" width="9.140625" hidden="1" customWidth="1"/>
    <col min="9" max="9" width="3.7109375" hidden="1" customWidth="1"/>
    <col min="10" max="10" width="22.28515625" hidden="1" customWidth="1"/>
    <col min="11" max="11" width="13.85546875" customWidth="1"/>
    <col min="12" max="49" width="13.7109375" customWidth="1"/>
    <col min="50" max="50" width="9.140625" customWidth="1"/>
  </cols>
  <sheetData>
    <row r="1" spans="1:10" ht="42" customHeight="1">
      <c r="A1" s="309" t="s">
        <v>215</v>
      </c>
      <c r="B1" s="310"/>
      <c r="C1" s="255" t="s">
        <v>206</v>
      </c>
      <c r="D1" s="14" t="s">
        <v>28</v>
      </c>
      <c r="E1" s="243"/>
      <c r="F1" s="35"/>
      <c r="G1" s="108" t="s">
        <v>110</v>
      </c>
    </row>
    <row r="2" spans="1:10">
      <c r="A2" s="311" t="s">
        <v>195</v>
      </c>
      <c r="B2" s="312"/>
      <c r="C2" s="312"/>
      <c r="D2" s="312"/>
      <c r="E2" s="313"/>
      <c r="F2" s="26"/>
      <c r="G2" s="109"/>
      <c r="J2" t="s">
        <v>28</v>
      </c>
    </row>
    <row r="3" spans="1:10" ht="15.75" thickBot="1">
      <c r="A3" s="244"/>
      <c r="B3" s="238" t="s">
        <v>119</v>
      </c>
      <c r="C3" s="238"/>
      <c r="D3" s="238"/>
      <c r="E3" s="107">
        <v>421768</v>
      </c>
      <c r="F3" s="26"/>
      <c r="G3" s="109"/>
      <c r="J3" t="s">
        <v>196</v>
      </c>
    </row>
    <row r="4" spans="1:10" ht="15.75" thickBot="1">
      <c r="A4" s="244"/>
      <c r="B4" s="238" t="s">
        <v>120</v>
      </c>
      <c r="C4" s="238"/>
      <c r="D4" s="238"/>
      <c r="E4" s="6">
        <v>299670</v>
      </c>
      <c r="F4" s="26"/>
      <c r="G4" s="109"/>
      <c r="H4" t="s">
        <v>38</v>
      </c>
      <c r="J4" t="s">
        <v>197</v>
      </c>
    </row>
    <row r="5" spans="1:10" ht="15.75" thickBot="1">
      <c r="A5" s="244"/>
      <c r="B5" s="238" t="s">
        <v>150</v>
      </c>
      <c r="C5" s="238"/>
      <c r="D5" s="238"/>
      <c r="E5" s="7">
        <v>82.77</v>
      </c>
      <c r="F5" s="26"/>
      <c r="G5" s="109"/>
      <c r="J5" t="s">
        <v>198</v>
      </c>
    </row>
    <row r="6" spans="1:10">
      <c r="A6" s="244"/>
      <c r="B6" s="238" t="s">
        <v>96</v>
      </c>
      <c r="C6" s="238"/>
      <c r="D6" s="238"/>
      <c r="E6" s="171">
        <f>SUM(E5*43560)</f>
        <v>3605461.1999999997</v>
      </c>
      <c r="F6" s="26"/>
      <c r="G6" s="109"/>
      <c r="J6" t="s">
        <v>199</v>
      </c>
    </row>
    <row r="7" spans="1:10">
      <c r="A7" s="244"/>
      <c r="B7" s="238" t="s">
        <v>118</v>
      </c>
      <c r="C7" s="238"/>
      <c r="D7" s="238"/>
      <c r="E7" s="172">
        <f>SUM(E6-E3)</f>
        <v>3183693.1999999997</v>
      </c>
      <c r="F7" s="26"/>
      <c r="G7" s="109"/>
      <c r="J7" t="s">
        <v>200</v>
      </c>
    </row>
    <row r="8" spans="1:10" ht="15.75" thickBot="1">
      <c r="A8" s="244"/>
      <c r="B8" s="238"/>
      <c r="C8" s="245" t="s">
        <v>19</v>
      </c>
      <c r="D8" s="245" t="s">
        <v>20</v>
      </c>
      <c r="E8" s="246" t="s">
        <v>113</v>
      </c>
      <c r="F8" s="26"/>
      <c r="G8" s="109"/>
      <c r="J8" t="s">
        <v>201</v>
      </c>
    </row>
    <row r="9" spans="1:10" ht="15.75" thickBot="1">
      <c r="A9" s="244"/>
      <c r="B9" s="238" t="s">
        <v>21</v>
      </c>
      <c r="C9" s="5">
        <v>10</v>
      </c>
      <c r="D9" s="5">
        <v>4</v>
      </c>
      <c r="E9" s="175">
        <f>SUM(C9+D9*0.5)</f>
        <v>12</v>
      </c>
      <c r="G9" s="109">
        <f>'Staffing Expenses '!$H$9</f>
        <v>0</v>
      </c>
      <c r="H9" s="109">
        <f>SUM(E9:G9)</f>
        <v>12</v>
      </c>
      <c r="J9" t="s">
        <v>202</v>
      </c>
    </row>
    <row r="10" spans="1:10" ht="15.75" thickBot="1">
      <c r="A10" s="244"/>
      <c r="B10" s="238" t="s">
        <v>22</v>
      </c>
      <c r="C10" s="5">
        <v>4</v>
      </c>
      <c r="D10" s="5">
        <v>0</v>
      </c>
      <c r="E10" s="175">
        <f>SUM(C10+D10*0.5)</f>
        <v>4</v>
      </c>
      <c r="F10" s="26"/>
      <c r="G10" s="109">
        <f>'Staffing Expenses '!$H$17</f>
        <v>0</v>
      </c>
      <c r="H10" s="109">
        <f>SUM(E10:G10)</f>
        <v>4</v>
      </c>
      <c r="J10" t="s">
        <v>203</v>
      </c>
    </row>
    <row r="11" spans="1:10" ht="15.75" thickBot="1">
      <c r="A11" s="244"/>
      <c r="B11" s="238" t="s">
        <v>23</v>
      </c>
      <c r="C11" s="5">
        <v>4</v>
      </c>
      <c r="D11" s="5">
        <v>2</v>
      </c>
      <c r="E11" s="175">
        <f>SUM(C11+D11*0.5)</f>
        <v>5</v>
      </c>
      <c r="F11" s="26"/>
      <c r="G11" s="109">
        <f>'Staffing Expenses '!$H$26</f>
        <v>0</v>
      </c>
      <c r="H11" s="109">
        <f>SUM(E11:G11)</f>
        <v>5</v>
      </c>
      <c r="J11" t="s">
        <v>204</v>
      </c>
    </row>
    <row r="12" spans="1:10" ht="15.75" thickBot="1">
      <c r="A12" s="244"/>
      <c r="B12" s="238" t="s">
        <v>24</v>
      </c>
      <c r="C12" s="5">
        <v>1</v>
      </c>
      <c r="D12" s="5">
        <v>0</v>
      </c>
      <c r="E12" s="175">
        <f>SUM(C12+D12*0.5)</f>
        <v>1</v>
      </c>
      <c r="F12" s="26"/>
      <c r="G12" s="109"/>
      <c r="H12" s="109">
        <f>SUM(F12:G12)</f>
        <v>0</v>
      </c>
      <c r="J12" t="s">
        <v>205</v>
      </c>
    </row>
    <row r="13" spans="1:10">
      <c r="A13" s="244"/>
      <c r="B13" s="242" t="s">
        <v>26</v>
      </c>
      <c r="C13" s="173">
        <f>SUM(C9:C12)</f>
        <v>19</v>
      </c>
      <c r="D13" s="238"/>
      <c r="E13" s="247"/>
      <c r="G13" s="109"/>
    </row>
    <row r="14" spans="1:10">
      <c r="A14" s="244"/>
      <c r="B14" s="242" t="s">
        <v>27</v>
      </c>
      <c r="C14" s="238"/>
      <c r="D14" s="174">
        <f>SUM(D9:D13)</f>
        <v>6</v>
      </c>
      <c r="E14" s="247"/>
      <c r="G14" s="109"/>
    </row>
    <row r="15" spans="1:10" ht="15.75" thickBot="1">
      <c r="A15" s="244"/>
      <c r="B15" s="242"/>
      <c r="C15" s="245" t="s">
        <v>19</v>
      </c>
      <c r="D15" s="245" t="s">
        <v>20</v>
      </c>
      <c r="E15" s="248" t="s">
        <v>117</v>
      </c>
      <c r="G15" s="109"/>
    </row>
    <row r="16" spans="1:10">
      <c r="A16" s="244"/>
      <c r="B16" s="238" t="s">
        <v>232</v>
      </c>
      <c r="C16" s="8">
        <v>1043890.75</v>
      </c>
      <c r="D16" s="289">
        <v>0</v>
      </c>
      <c r="E16" s="176">
        <f>SUM(C16:D16)</f>
        <v>1043890.75</v>
      </c>
      <c r="F16" s="110"/>
      <c r="G16" s="111">
        <f>'Staffing Expenses '!$N$9</f>
        <v>0</v>
      </c>
      <c r="I16" s="38"/>
    </row>
    <row r="17" spans="1:8">
      <c r="A17" s="244"/>
      <c r="B17" s="238" t="s">
        <v>233</v>
      </c>
      <c r="C17" s="9">
        <v>495767.51</v>
      </c>
      <c r="D17" s="10">
        <v>0</v>
      </c>
      <c r="E17" s="177">
        <f>SUM(C17:D17)</f>
        <v>495767.51</v>
      </c>
      <c r="G17" s="111">
        <f>'Staffing Expenses '!$N$17</f>
        <v>0</v>
      </c>
    </row>
    <row r="18" spans="1:8">
      <c r="A18" s="244"/>
      <c r="B18" s="238" t="s">
        <v>234</v>
      </c>
      <c r="C18" s="9">
        <v>362053</v>
      </c>
      <c r="D18" s="10">
        <v>0</v>
      </c>
      <c r="E18" s="177">
        <f>SUM(C18:D18)</f>
        <v>362053</v>
      </c>
      <c r="G18" s="111">
        <f>'Staffing Expenses '!$N$26</f>
        <v>0</v>
      </c>
    </row>
    <row r="19" spans="1:8" ht="15.75" thickBot="1">
      <c r="A19" s="244"/>
      <c r="B19" s="238" t="s">
        <v>235</v>
      </c>
      <c r="C19" s="11">
        <v>103824.33</v>
      </c>
      <c r="D19" s="12">
        <v>0</v>
      </c>
      <c r="E19" s="177">
        <f>SUM(C19:D19)</f>
        <v>103824.33</v>
      </c>
      <c r="G19" s="109"/>
    </row>
    <row r="20" spans="1:8">
      <c r="A20" s="244"/>
      <c r="B20" s="242" t="s">
        <v>25</v>
      </c>
      <c r="C20" s="238"/>
      <c r="D20" s="238"/>
      <c r="E20" s="178">
        <f>SUM(E16:E19)</f>
        <v>2005535.59</v>
      </c>
    </row>
    <row r="21" spans="1:8">
      <c r="A21" s="244"/>
      <c r="B21" s="242"/>
      <c r="C21" s="314" t="s">
        <v>272</v>
      </c>
      <c r="D21" s="315"/>
      <c r="E21" s="316"/>
    </row>
    <row r="22" spans="1:8">
      <c r="A22" s="318" t="s">
        <v>33</v>
      </c>
      <c r="B22" s="238" t="s">
        <v>236</v>
      </c>
      <c r="C22" s="238"/>
      <c r="D22" s="238"/>
      <c r="E22" s="179">
        <f>SUM(E16/E3)</f>
        <v>2.4750354460271997</v>
      </c>
      <c r="G22" s="112">
        <f>IF(G16="Unknown","0",SUM(G16/E3))</f>
        <v>0</v>
      </c>
      <c r="H22" s="112">
        <f>SUM(E22:G22)</f>
        <v>2.4750354460271997</v>
      </c>
    </row>
    <row r="23" spans="1:8">
      <c r="A23" s="318"/>
      <c r="B23" s="238" t="s">
        <v>237</v>
      </c>
      <c r="C23" s="238"/>
      <c r="D23" s="238"/>
      <c r="E23" s="179">
        <f>SUM(E17/E3)</f>
        <v>1.1754507454335086</v>
      </c>
      <c r="G23" s="112">
        <f>IF(G17="Unknown","0",SUM(G17/E3))</f>
        <v>0</v>
      </c>
      <c r="H23" s="112">
        <f>SUM(E23:G23)</f>
        <v>1.1754507454335086</v>
      </c>
    </row>
    <row r="24" spans="1:8">
      <c r="A24" s="318"/>
      <c r="B24" s="238" t="s">
        <v>238</v>
      </c>
      <c r="C24" s="238"/>
      <c r="D24" s="238"/>
      <c r="E24" s="179">
        <f>SUM(E18/E7)</f>
        <v>0.1137210708619788</v>
      </c>
      <c r="G24" s="112">
        <f>IF(G18="Unknown","0",SUM(G18/E3))</f>
        <v>0</v>
      </c>
      <c r="H24" s="112">
        <f>SUM(E24:G24)</f>
        <v>0.1137210708619788</v>
      </c>
    </row>
    <row r="25" spans="1:8">
      <c r="A25" s="318"/>
      <c r="B25" s="238" t="s">
        <v>239</v>
      </c>
      <c r="C25" s="238"/>
      <c r="D25" s="238"/>
      <c r="E25" s="179">
        <f>SUM(E19/E3)</f>
        <v>0.24616455017924546</v>
      </c>
      <c r="G25" s="112">
        <f>IF(G19="Unknown","0",SUM(G19/E3))</f>
        <v>0</v>
      </c>
      <c r="H25" s="112">
        <f>SUM(E25:G25)</f>
        <v>0.24616455017924546</v>
      </c>
    </row>
    <row r="26" spans="1:8" ht="17.25" customHeight="1">
      <c r="A26" s="318"/>
      <c r="B26" s="242" t="s">
        <v>240</v>
      </c>
      <c r="C26" s="238"/>
      <c r="D26" s="238"/>
      <c r="E26" s="180">
        <f>SUM(E22:E25)</f>
        <v>4.0103718125019325</v>
      </c>
      <c r="G26" s="109"/>
      <c r="H26" s="112">
        <f>SUM(H22:H25)</f>
        <v>4.0103718125019325</v>
      </c>
    </row>
    <row r="27" spans="1:8" ht="17.25" customHeight="1" thickBot="1">
      <c r="A27" s="249"/>
      <c r="B27" s="238"/>
      <c r="C27" s="238"/>
      <c r="D27" s="238"/>
      <c r="E27" s="247"/>
    </row>
    <row r="28" spans="1:8" ht="17.25" customHeight="1" thickBot="1">
      <c r="A28" s="318" t="s">
        <v>152</v>
      </c>
      <c r="B28" s="238" t="s">
        <v>187</v>
      </c>
      <c r="C28" s="238"/>
      <c r="D28" s="238"/>
      <c r="E28" s="13">
        <v>180843</v>
      </c>
    </row>
    <row r="29" spans="1:8" ht="17.25" customHeight="1">
      <c r="A29" s="318"/>
      <c r="B29" s="242" t="s">
        <v>241</v>
      </c>
      <c r="C29" s="238"/>
      <c r="D29" s="238"/>
      <c r="E29" s="181">
        <f>SUM(E28/E6)</f>
        <v>5.0158076864063886E-2</v>
      </c>
    </row>
    <row r="30" spans="1:8" ht="17.25" customHeight="1" thickBot="1">
      <c r="A30" s="249"/>
      <c r="B30" s="238"/>
      <c r="C30" s="238"/>
      <c r="D30" s="238"/>
      <c r="E30" s="247"/>
    </row>
    <row r="31" spans="1:8" ht="17.25" customHeight="1" thickBot="1">
      <c r="A31" s="318" t="s">
        <v>152</v>
      </c>
      <c r="B31" s="238" t="s">
        <v>209</v>
      </c>
      <c r="C31" s="238"/>
      <c r="D31" s="238"/>
      <c r="E31" s="13">
        <v>61036</v>
      </c>
    </row>
    <row r="32" spans="1:8" ht="17.25" customHeight="1">
      <c r="A32" s="318"/>
      <c r="B32" s="242" t="s">
        <v>242</v>
      </c>
      <c r="C32" s="238"/>
      <c r="D32" s="238"/>
      <c r="E32" s="181">
        <f>SUM(E31/E3)</f>
        <v>0.14471462984389522</v>
      </c>
      <c r="F32" s="113" t="s">
        <v>74</v>
      </c>
    </row>
    <row r="33" spans="1:8" ht="17.25" customHeight="1" thickBot="1">
      <c r="A33" s="249"/>
      <c r="B33" s="238"/>
      <c r="C33" s="238"/>
      <c r="D33" s="238"/>
      <c r="E33" s="250"/>
      <c r="F33" s="113" t="s">
        <v>38</v>
      </c>
      <c r="H33" t="s">
        <v>38</v>
      </c>
    </row>
    <row r="34" spans="1:8" ht="17.25" customHeight="1" thickBot="1">
      <c r="A34" s="318" t="s">
        <v>152</v>
      </c>
      <c r="B34" s="238" t="s">
        <v>208</v>
      </c>
      <c r="C34" s="238"/>
      <c r="D34" s="238"/>
      <c r="E34" s="13">
        <v>600220</v>
      </c>
      <c r="F34" s="113"/>
      <c r="G34" t="s">
        <v>38</v>
      </c>
    </row>
    <row r="35" spans="1:8" ht="17.25" customHeight="1">
      <c r="A35" s="318"/>
      <c r="B35" s="242" t="s">
        <v>242</v>
      </c>
      <c r="C35" s="238"/>
      <c r="D35" s="238"/>
      <c r="E35" s="181">
        <f>SUM(E34/E3)</f>
        <v>1.423104645207792</v>
      </c>
      <c r="F35" s="114">
        <f>SUM(E32+E35)</f>
        <v>1.5678192750516873</v>
      </c>
    </row>
    <row r="36" spans="1:8" ht="17.25" customHeight="1" thickBot="1">
      <c r="A36" s="249"/>
      <c r="B36" s="238"/>
      <c r="C36" s="238"/>
      <c r="D36" s="238"/>
      <c r="E36" s="250"/>
    </row>
    <row r="37" spans="1:8" ht="17.25" customHeight="1" thickBot="1">
      <c r="A37" s="318" t="s">
        <v>30</v>
      </c>
      <c r="B37" s="238" t="s">
        <v>35</v>
      </c>
      <c r="C37" s="238"/>
      <c r="D37" s="238"/>
      <c r="E37" s="13">
        <v>975766</v>
      </c>
      <c r="F37" s="113" t="s">
        <v>90</v>
      </c>
    </row>
    <row r="38" spans="1:8" ht="17.25" customHeight="1">
      <c r="A38" s="318"/>
      <c r="B38" s="242" t="s">
        <v>242</v>
      </c>
      <c r="C38" s="238"/>
      <c r="D38" s="238"/>
      <c r="E38" s="181">
        <f>SUM(E37/E3)</f>
        <v>2.3135135904098938</v>
      </c>
      <c r="F38" s="113"/>
    </row>
    <row r="39" spans="1:8" ht="17.25" customHeight="1" thickBot="1">
      <c r="A39" s="249"/>
      <c r="B39" s="238"/>
      <c r="C39" s="238"/>
      <c r="D39" s="238"/>
      <c r="E39" s="247"/>
      <c r="F39" s="113"/>
    </row>
    <row r="40" spans="1:8" ht="17.25" customHeight="1" thickBot="1">
      <c r="A40" s="318" t="s">
        <v>34</v>
      </c>
      <c r="B40" s="238" t="s">
        <v>36</v>
      </c>
      <c r="C40" s="238"/>
      <c r="D40" s="238"/>
      <c r="E40" s="13">
        <v>0</v>
      </c>
      <c r="F40" s="113"/>
    </row>
    <row r="41" spans="1:8">
      <c r="A41" s="318"/>
      <c r="B41" s="242" t="s">
        <v>242</v>
      </c>
      <c r="C41" s="238"/>
      <c r="D41" s="238"/>
      <c r="E41" s="181">
        <f>SUM(E40/E3)</f>
        <v>0</v>
      </c>
      <c r="F41" s="114">
        <f>SUM(E38+E41)</f>
        <v>2.3135135904098938</v>
      </c>
    </row>
    <row r="42" spans="1:8">
      <c r="A42" s="251"/>
      <c r="B42" s="252"/>
      <c r="C42" s="252"/>
      <c r="D42" s="252"/>
      <c r="E42" s="253"/>
    </row>
    <row r="43" spans="1:8">
      <c r="A43" s="427" t="s">
        <v>278</v>
      </c>
      <c r="B43" s="427"/>
    </row>
  </sheetData>
  <sheetProtection algorithmName="SHA-512" hashValue="yG63kjI0E98ZpRpf8DMeAuaZtPbu2QNzQhmHUbf4+WfWXuI7RNC8orXso1yl5inM8hy+GiqOc12k2Zhka4Gg7w==" saltValue="unzKp5Isi2CaD2QiCFehrQ==" spinCount="100000" sheet="1" objects="1" scenarios="1"/>
  <mergeCells count="10">
    <mergeCell ref="A1:B1"/>
    <mergeCell ref="A2:E2"/>
    <mergeCell ref="C21:E21"/>
    <mergeCell ref="A43:B43"/>
    <mergeCell ref="A28:A29"/>
    <mergeCell ref="A31:A32"/>
    <mergeCell ref="A34:A35"/>
    <mergeCell ref="A37:A38"/>
    <mergeCell ref="A40:A41"/>
    <mergeCell ref="A22:A26"/>
  </mergeCells>
  <dataValidations count="1">
    <dataValidation type="list" allowBlank="1" showInputMessage="1" showErrorMessage="1" sqref="D1" xr:uid="{DF944EFA-B2E1-45A2-986D-981CAF5F0D61}">
      <formula1>$J$2:$J$12</formula1>
    </dataValidation>
  </dataValidation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EE62-D823-4CEA-92CD-E7C5BC0A6A9C}">
  <sheetPr>
    <pageSetUpPr fitToPage="1"/>
  </sheetPr>
  <dimension ref="A1:O194"/>
  <sheetViews>
    <sheetView topLeftCell="A4" zoomScale="70" zoomScaleNormal="70" workbookViewId="0">
      <selection activeCell="D30" sqref="D30"/>
    </sheetView>
  </sheetViews>
  <sheetFormatPr defaultRowHeight="15"/>
  <cols>
    <col min="1" max="5" width="22.7109375" customWidth="1"/>
    <col min="6" max="6" width="19.28515625" customWidth="1"/>
    <col min="7" max="7" width="2.140625" style="1" customWidth="1"/>
    <col min="8" max="11" width="16.28515625" customWidth="1"/>
    <col min="12" max="13" width="16.140625" customWidth="1"/>
    <col min="14" max="14" width="15.85546875" customWidth="1"/>
    <col min="15" max="15" width="17.7109375" customWidth="1"/>
  </cols>
  <sheetData>
    <row r="1" spans="1:15" ht="37.5" customHeight="1" thickBot="1">
      <c r="A1" s="326" t="s">
        <v>274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8"/>
    </row>
    <row r="2" spans="1:15" ht="24.75" customHeight="1">
      <c r="A2" s="331" t="s">
        <v>190</v>
      </c>
      <c r="B2" s="330"/>
      <c r="C2" s="330"/>
      <c r="D2" s="330"/>
      <c r="E2" s="330"/>
      <c r="F2" s="330"/>
      <c r="G2" s="43"/>
      <c r="H2" s="338" t="s">
        <v>193</v>
      </c>
      <c r="I2" s="338"/>
      <c r="J2" s="338"/>
      <c r="K2" s="338"/>
      <c r="L2" s="338"/>
      <c r="M2" s="338"/>
      <c r="N2" s="338"/>
      <c r="O2" s="338"/>
    </row>
    <row r="3" spans="1:15" ht="63.95" customHeight="1">
      <c r="A3" s="44" t="s">
        <v>210</v>
      </c>
      <c r="B3" s="45" t="s">
        <v>211</v>
      </c>
      <c r="C3" s="45" t="s">
        <v>212</v>
      </c>
      <c r="D3" s="45" t="s">
        <v>213</v>
      </c>
      <c r="E3" s="45" t="s">
        <v>214</v>
      </c>
      <c r="G3" s="43"/>
      <c r="H3" s="322"/>
      <c r="I3" s="322"/>
      <c r="J3" s="322"/>
      <c r="K3" s="322"/>
      <c r="L3" s="322"/>
      <c r="M3" s="322"/>
      <c r="N3" s="322"/>
      <c r="O3" s="322"/>
    </row>
    <row r="4" spans="1:15" ht="15.75" customHeight="1">
      <c r="A4" s="46" t="s">
        <v>3</v>
      </c>
      <c r="B4" s="47" t="s">
        <v>4</v>
      </c>
      <c r="C4" s="47" t="s">
        <v>5</v>
      </c>
      <c r="D4" s="47" t="s">
        <v>6</v>
      </c>
      <c r="E4" s="47" t="s">
        <v>231</v>
      </c>
      <c r="G4" s="43"/>
      <c r="H4" s="322"/>
      <c r="I4" s="322"/>
      <c r="J4" s="322"/>
      <c r="K4" s="322"/>
      <c r="L4" s="322"/>
      <c r="M4" s="322"/>
      <c r="N4" s="322"/>
      <c r="O4" s="322"/>
    </row>
    <row r="5" spans="1:15" ht="21">
      <c r="A5" s="48">
        <v>8500</v>
      </c>
      <c r="B5" s="49">
        <v>16700</v>
      </c>
      <c r="C5" s="50">
        <v>26500</v>
      </c>
      <c r="D5" s="51">
        <v>39500</v>
      </c>
      <c r="E5" s="52">
        <v>45600</v>
      </c>
      <c r="G5" s="43"/>
      <c r="H5" s="335" t="s">
        <v>165</v>
      </c>
      <c r="I5" s="336"/>
      <c r="J5" s="336"/>
      <c r="K5" s="336"/>
      <c r="L5" s="336"/>
      <c r="M5" s="336"/>
      <c r="N5" s="336"/>
      <c r="O5" s="337"/>
    </row>
    <row r="6" spans="1:15" ht="18.75">
      <c r="A6" s="53"/>
      <c r="B6" s="54"/>
      <c r="C6" s="54"/>
      <c r="D6" s="54"/>
      <c r="E6" s="54"/>
      <c r="G6" s="43"/>
      <c r="H6" s="324" t="s">
        <v>247</v>
      </c>
      <c r="I6" s="324"/>
      <c r="J6" s="324"/>
      <c r="K6" s="324"/>
      <c r="L6" s="324"/>
      <c r="M6" s="324"/>
      <c r="N6" s="324"/>
      <c r="O6" s="334"/>
    </row>
    <row r="7" spans="1:15" ht="77.25" customHeight="1" thickBot="1">
      <c r="A7" s="55" t="s">
        <v>273</v>
      </c>
      <c r="B7" s="2" t="s">
        <v>0</v>
      </c>
      <c r="C7" s="2" t="s">
        <v>1</v>
      </c>
      <c r="D7" s="56" t="s">
        <v>37</v>
      </c>
      <c r="E7" s="56" t="s">
        <v>2</v>
      </c>
      <c r="F7" s="57" t="s">
        <v>167</v>
      </c>
      <c r="G7" s="58"/>
      <c r="H7" s="59" t="s">
        <v>114</v>
      </c>
      <c r="I7" s="60" t="s">
        <v>8</v>
      </c>
      <c r="J7" s="60" t="s">
        <v>7</v>
      </c>
      <c r="K7" s="60" t="s">
        <v>175</v>
      </c>
      <c r="L7" s="60" t="s">
        <v>243</v>
      </c>
      <c r="M7" s="60" t="s">
        <v>244</v>
      </c>
      <c r="N7" s="60" t="s">
        <v>245</v>
      </c>
      <c r="O7" s="61" t="s">
        <v>246</v>
      </c>
    </row>
    <row r="8" spans="1:15" ht="4.5" hidden="1" customHeight="1" thickBot="1">
      <c r="A8" s="62" t="s">
        <v>132</v>
      </c>
      <c r="B8" s="63" t="s">
        <v>29</v>
      </c>
      <c r="C8" s="64">
        <v>617680</v>
      </c>
      <c r="D8" s="65">
        <v>27</v>
      </c>
      <c r="E8" s="64">
        <f>SUM(C8/D8)</f>
        <v>22877.037037037036</v>
      </c>
      <c r="F8" s="66" t="str">
        <f>IF(E8&gt;E5,"5",IF(E8&gt;D5,"4-5",IF(E8&gt;C5,"3-4",IF(E8&gt;B5,"2-3",IF(E8&gt;A5,"1-2",IF(E8&lt;A5,"1",0))))))</f>
        <v>2-3</v>
      </c>
      <c r="G8" s="58"/>
      <c r="H8" s="67"/>
      <c r="I8" s="68">
        <f>SUM(D8+H8)</f>
        <v>27</v>
      </c>
      <c r="J8" s="69">
        <f>SUM(C8/I8)</f>
        <v>22877.037037037036</v>
      </c>
      <c r="K8" s="70" t="str">
        <f>IF(J8&gt;E5,"5",IF(J8&gt;D5,"4-5",IF(J8&gt;C5,"3-4",IF(J8&gt;B5,"2-3",IF(J8&gt;A5,"1-2",IF(J8&lt;A5,"1",0))))))</f>
        <v>2-3</v>
      </c>
      <c r="L8" s="71">
        <v>2256655</v>
      </c>
      <c r="M8" s="72">
        <f>SUM(L8/C8)</f>
        <v>3.6534370547856496</v>
      </c>
      <c r="N8" s="73">
        <f>SUM(J8*H8*M8)</f>
        <v>0</v>
      </c>
      <c r="O8" s="74">
        <f>SUM(L8+N8)</f>
        <v>2256655</v>
      </c>
    </row>
    <row r="9" spans="1:15" ht="38.1" customHeight="1" thickBot="1">
      <c r="A9" s="279" t="str">
        <f>'Summary Data'!$D$1</f>
        <v>2020-2021</v>
      </c>
      <c r="B9" s="280" t="str">
        <f>'Summary Data'!$A$1</f>
        <v>Santiago Canyon College</v>
      </c>
      <c r="C9" s="214">
        <f>'Summary Data'!$E$3</f>
        <v>421768</v>
      </c>
      <c r="D9" s="215">
        <f>'Summary Data'!$E$9</f>
        <v>12</v>
      </c>
      <c r="E9" s="214">
        <f>IF(D9,C9/D9,"Unknown")</f>
        <v>35147.333333333336</v>
      </c>
      <c r="F9" s="301" t="str">
        <f>IF(E9="Unknown","Unknown",IF(E9&gt;E5,"5",IF(E9&gt;D5,"4-5",IF(E9&gt;C5,"3-4",IF(E9&gt;B5,"2-3",IF(E9&gt;A5,"1-2",IF(E9&lt;A5,"1",0)))))))</f>
        <v>3-4</v>
      </c>
      <c r="G9" s="75"/>
      <c r="H9" s="278">
        <v>0</v>
      </c>
      <c r="I9" s="281">
        <f>SUM(D9+H9)</f>
        <v>12</v>
      </c>
      <c r="J9" s="214">
        <f>IF(I9,C9/I9,"Unknown")</f>
        <v>35147.333333333336</v>
      </c>
      <c r="K9" s="212" t="str">
        <f>IF(J9="Unknown","Unknown",IF(J9&gt;E5,"5",IF(J9&gt;D5,"4-5",IF(J9&gt;C5,"3-4",IF(J9&gt;B5,"2-3",IF(J9&gt;A5,"1-2",IF(J9&lt;A5,"1",0)))))))</f>
        <v>3-4</v>
      </c>
      <c r="L9" s="302">
        <f>'Summary Data'!$E$16</f>
        <v>1043890.75</v>
      </c>
      <c r="M9" s="303">
        <f>SUM(L9/C9)</f>
        <v>2.4750354460271997</v>
      </c>
      <c r="N9" s="302">
        <f>IF(J9="Unknown","Unknown",SUM(J9*H9*M9))</f>
        <v>0</v>
      </c>
      <c r="O9" s="304">
        <f>IF(N9="Unknown","Unknown",SUM(L9+N9))</f>
        <v>1043890.75</v>
      </c>
    </row>
    <row r="10" spans="1:15" ht="32.1" customHeight="1">
      <c r="A10" s="76"/>
      <c r="B10" s="77"/>
      <c r="C10" s="78"/>
      <c r="D10" s="79"/>
      <c r="E10" s="78"/>
      <c r="F10" s="80"/>
      <c r="G10" s="81"/>
      <c r="H10" s="81"/>
      <c r="I10" s="82"/>
      <c r="J10" s="83"/>
      <c r="K10" s="84"/>
      <c r="L10" s="85"/>
      <c r="M10" s="86"/>
      <c r="N10" s="85"/>
      <c r="O10" s="87"/>
    </row>
    <row r="11" spans="1:15" ht="26.25" customHeight="1">
      <c r="A11" s="329" t="s">
        <v>191</v>
      </c>
      <c r="B11" s="330"/>
      <c r="C11" s="330"/>
      <c r="D11" s="330"/>
      <c r="E11" s="330"/>
      <c r="F11" s="330"/>
      <c r="G11" s="43"/>
      <c r="H11" s="338" t="s">
        <v>193</v>
      </c>
      <c r="I11" s="338"/>
      <c r="J11" s="338"/>
      <c r="K11" s="338"/>
      <c r="L11" s="338"/>
      <c r="M11" s="338"/>
      <c r="N11" s="338"/>
      <c r="O11" s="338"/>
    </row>
    <row r="12" spans="1:15" ht="63.95" customHeight="1">
      <c r="A12" s="45" t="s">
        <v>168</v>
      </c>
      <c r="B12" s="45" t="s">
        <v>169</v>
      </c>
      <c r="C12" s="45" t="s">
        <v>170</v>
      </c>
      <c r="D12" s="45" t="s">
        <v>171</v>
      </c>
      <c r="E12" s="45" t="s">
        <v>172</v>
      </c>
      <c r="G12" s="43"/>
      <c r="H12" s="322"/>
      <c r="I12" s="322"/>
      <c r="J12" s="322"/>
      <c r="K12" s="322"/>
      <c r="L12" s="322"/>
      <c r="M12" s="322"/>
      <c r="N12" s="322"/>
      <c r="O12" s="322"/>
    </row>
    <row r="13" spans="1:15" ht="31.5" customHeight="1">
      <c r="A13" s="47" t="s">
        <v>9</v>
      </c>
      <c r="B13" s="47" t="s">
        <v>10</v>
      </c>
      <c r="C13" s="47" t="s">
        <v>11</v>
      </c>
      <c r="D13" s="47" t="s">
        <v>12</v>
      </c>
      <c r="E13" s="47" t="s">
        <v>13</v>
      </c>
      <c r="G13" s="43"/>
      <c r="H13" s="322"/>
      <c r="I13" s="322"/>
      <c r="J13" s="322"/>
      <c r="K13" s="322"/>
      <c r="L13" s="322"/>
      <c r="M13" s="322"/>
      <c r="N13" s="322"/>
      <c r="O13" s="322"/>
    </row>
    <row r="14" spans="1:15" ht="21">
      <c r="A14" s="88">
        <v>47220</v>
      </c>
      <c r="B14" s="49">
        <v>67456</v>
      </c>
      <c r="C14" s="50">
        <v>94439</v>
      </c>
      <c r="D14" s="51">
        <v>118049</v>
      </c>
      <c r="E14" s="52">
        <v>236098</v>
      </c>
      <c r="G14" s="43"/>
      <c r="H14" s="339" t="s">
        <v>257</v>
      </c>
      <c r="I14" s="340"/>
      <c r="J14" s="340"/>
      <c r="K14" s="340"/>
      <c r="L14" s="340"/>
      <c r="M14" s="340"/>
      <c r="N14" s="340"/>
      <c r="O14" s="341"/>
    </row>
    <row r="15" spans="1:15" ht="18.75">
      <c r="A15" s="89"/>
      <c r="B15" s="90"/>
      <c r="C15" s="90"/>
      <c r="D15" s="90"/>
      <c r="E15" s="90"/>
      <c r="G15" s="43"/>
      <c r="H15" s="324" t="s">
        <v>248</v>
      </c>
      <c r="I15" s="324"/>
      <c r="J15" s="324"/>
      <c r="K15" s="324"/>
      <c r="L15" s="324"/>
      <c r="M15" s="324"/>
      <c r="N15" s="324"/>
      <c r="O15" s="325"/>
    </row>
    <row r="16" spans="1:15" ht="77.25" customHeight="1" thickBot="1">
      <c r="A16" s="2" t="s">
        <v>273</v>
      </c>
      <c r="B16" s="2" t="s">
        <v>0</v>
      </c>
      <c r="C16" s="2" t="s">
        <v>1</v>
      </c>
      <c r="D16" s="56" t="s">
        <v>39</v>
      </c>
      <c r="E16" s="56" t="s">
        <v>40</v>
      </c>
      <c r="F16" s="57" t="s">
        <v>166</v>
      </c>
      <c r="G16" s="91"/>
      <c r="H16" s="92" t="s">
        <v>121</v>
      </c>
      <c r="I16" s="56" t="s">
        <v>8</v>
      </c>
      <c r="J16" s="56" t="s">
        <v>122</v>
      </c>
      <c r="K16" s="56" t="s">
        <v>174</v>
      </c>
      <c r="L16" s="56" t="s">
        <v>255</v>
      </c>
      <c r="M16" s="56" t="s">
        <v>250</v>
      </c>
      <c r="N16" s="56" t="s">
        <v>256</v>
      </c>
      <c r="O16" s="56" t="s">
        <v>258</v>
      </c>
    </row>
    <row r="17" spans="1:15" ht="38.1" customHeight="1" thickBot="1">
      <c r="A17" s="207" t="str">
        <f>'Summary Data'!$D$1</f>
        <v>2020-2021</v>
      </c>
      <c r="B17" s="208" t="str">
        <f>'Summary Data'!$A$1</f>
        <v>Santiago Canyon College</v>
      </c>
      <c r="C17" s="209">
        <f>'Summary Data'!$E$3</f>
        <v>421768</v>
      </c>
      <c r="D17" s="210">
        <f>'Summary Data'!$E$10</f>
        <v>4</v>
      </c>
      <c r="E17" s="214">
        <f>IF(D17,C17/D17,"Unknown")</f>
        <v>105442</v>
      </c>
      <c r="F17" s="305" t="str">
        <f>IF(E17="Unknown","Unknown",IF(E17&gt;E14,"5",IF(E17&gt;D14,"4-5",IF(E17&gt;C14,"3-4",IF(E17&gt;B14,"2-3",IF(E17&gt;A14,"1-2",IF(E17&lt;A14,"1",0)))))))</f>
        <v>3-4</v>
      </c>
      <c r="G17" s="91"/>
      <c r="H17" s="278">
        <v>0</v>
      </c>
      <c r="I17" s="211">
        <f>SUM(D17+H17)</f>
        <v>4</v>
      </c>
      <c r="J17" s="214">
        <f>IF(I17,C17/I17,"Unknown")</f>
        <v>105442</v>
      </c>
      <c r="K17" s="212" t="str">
        <f>IF(J17="Unknown","Unknown",IF(J17&gt;E14,"5",IF(J17&gt;D14,"4-5",IF(J17&gt;C14,"3-4",IF(J17&gt;B14,"2-3",IF(J17&gt;A14,"1-2",IF(J17&lt;A14,"1",0)))))))</f>
        <v>3-4</v>
      </c>
      <c r="L17" s="302">
        <f>'Summary Data'!$E$17</f>
        <v>495767.51</v>
      </c>
      <c r="M17" s="303">
        <f>SUM(L17/C17)</f>
        <v>1.1754507454335086</v>
      </c>
      <c r="N17" s="302">
        <f>IF(J17="Unknown","Unknown",SUM(J17*H17*M17))</f>
        <v>0</v>
      </c>
      <c r="O17" s="304">
        <f>IF(N17="Unknown","Unknown",SUM(L17+N17))</f>
        <v>495767.51</v>
      </c>
    </row>
    <row r="18" spans="1:15" ht="32.1" customHeight="1">
      <c r="A18" s="93"/>
      <c r="B18" s="94"/>
      <c r="C18" s="95"/>
      <c r="D18" s="96"/>
      <c r="E18" s="287"/>
      <c r="F18" s="288"/>
      <c r="G18" s="97"/>
      <c r="H18" s="98"/>
      <c r="I18" s="99"/>
      <c r="J18" s="282"/>
      <c r="K18" s="283"/>
      <c r="L18" s="284"/>
      <c r="M18" s="285"/>
      <c r="N18" s="284"/>
      <c r="O18" s="286"/>
    </row>
    <row r="19" spans="1:15" ht="26.25" customHeight="1">
      <c r="A19" s="332" t="s">
        <v>192</v>
      </c>
      <c r="B19" s="333"/>
      <c r="C19" s="333"/>
      <c r="D19" s="333"/>
      <c r="E19" s="333"/>
      <c r="F19" s="333"/>
      <c r="G19" s="43"/>
      <c r="H19" s="322" t="s">
        <v>193</v>
      </c>
      <c r="I19" s="322"/>
      <c r="J19" s="322"/>
      <c r="K19" s="322"/>
      <c r="L19" s="322"/>
      <c r="M19" s="322"/>
      <c r="N19" s="322"/>
      <c r="O19" s="322"/>
    </row>
    <row r="20" spans="1:15" ht="63.95" customHeight="1">
      <c r="A20" s="45" t="s">
        <v>158</v>
      </c>
      <c r="B20" s="45" t="s">
        <v>159</v>
      </c>
      <c r="C20" s="45" t="s">
        <v>160</v>
      </c>
      <c r="D20" s="45" t="s">
        <v>161</v>
      </c>
      <c r="E20" s="45" t="s">
        <v>162</v>
      </c>
      <c r="G20" s="43"/>
      <c r="H20" s="322"/>
      <c r="I20" s="322"/>
      <c r="J20" s="322"/>
      <c r="K20" s="322"/>
      <c r="L20" s="322"/>
      <c r="M20" s="322"/>
      <c r="N20" s="322"/>
      <c r="O20" s="322"/>
    </row>
    <row r="21" spans="1:15" ht="31.5" customHeight="1">
      <c r="A21" s="47" t="s">
        <v>14</v>
      </c>
      <c r="B21" s="47" t="s">
        <v>15</v>
      </c>
      <c r="C21" s="47" t="s">
        <v>16</v>
      </c>
      <c r="D21" s="47" t="s">
        <v>17</v>
      </c>
      <c r="E21" s="47" t="s">
        <v>18</v>
      </c>
      <c r="G21" s="43"/>
      <c r="H21" s="322"/>
      <c r="I21" s="322"/>
      <c r="J21" s="322"/>
      <c r="K21" s="322"/>
      <c r="L21" s="322"/>
      <c r="M21" s="322"/>
      <c r="N21" s="322"/>
      <c r="O21" s="322"/>
    </row>
    <row r="22" spans="1:15" ht="51" customHeight="1">
      <c r="A22" s="100" t="s">
        <v>126</v>
      </c>
      <c r="B22" s="101" t="s">
        <v>125</v>
      </c>
      <c r="C22" s="102" t="s">
        <v>123</v>
      </c>
      <c r="D22" s="103" t="s">
        <v>124</v>
      </c>
      <c r="E22" s="104" t="s">
        <v>127</v>
      </c>
      <c r="G22" s="43"/>
      <c r="H22" s="322"/>
      <c r="I22" s="322"/>
      <c r="J22" s="322"/>
      <c r="K22" s="322"/>
      <c r="L22" s="322"/>
      <c r="M22" s="322"/>
      <c r="N22" s="322"/>
      <c r="O22" s="322"/>
    </row>
    <row r="23" spans="1:15" ht="21" customHeight="1">
      <c r="A23" s="100">
        <v>346737.6</v>
      </c>
      <c r="B23" s="101">
        <v>451717</v>
      </c>
      <c r="C23" s="102">
        <v>608097.6</v>
      </c>
      <c r="D23" s="103">
        <v>976615</v>
      </c>
      <c r="E23" s="104">
        <v>1855656</v>
      </c>
      <c r="G23" s="43"/>
      <c r="H23" s="319" t="s">
        <v>164</v>
      </c>
      <c r="I23" s="320"/>
      <c r="J23" s="320"/>
      <c r="K23" s="320"/>
      <c r="L23" s="320"/>
      <c r="M23" s="320"/>
      <c r="N23" s="320"/>
      <c r="O23" s="321"/>
    </row>
    <row r="24" spans="1:15" ht="18.75">
      <c r="A24" s="323"/>
      <c r="B24" s="323"/>
      <c r="C24" s="323"/>
      <c r="D24" s="323"/>
      <c r="E24" s="323"/>
      <c r="F24" s="323"/>
      <c r="G24" s="43"/>
      <c r="H24" s="324" t="s">
        <v>249</v>
      </c>
      <c r="I24" s="324"/>
      <c r="J24" s="324"/>
      <c r="K24" s="324"/>
      <c r="L24" s="324"/>
      <c r="M24" s="324"/>
      <c r="N24" s="324"/>
      <c r="O24" s="325"/>
    </row>
    <row r="25" spans="1:15" ht="77.25" customHeight="1" thickBot="1">
      <c r="A25" s="39" t="s">
        <v>273</v>
      </c>
      <c r="B25" s="39" t="s">
        <v>94</v>
      </c>
      <c r="C25" s="60" t="s">
        <v>93</v>
      </c>
      <c r="D25" s="60" t="s">
        <v>91</v>
      </c>
      <c r="E25" s="60" t="s">
        <v>92</v>
      </c>
      <c r="F25" s="105" t="s">
        <v>163</v>
      </c>
      <c r="G25" s="75"/>
      <c r="H25" s="92" t="s">
        <v>128</v>
      </c>
      <c r="I25" s="60" t="s">
        <v>8</v>
      </c>
      <c r="J25" s="60" t="s">
        <v>95</v>
      </c>
      <c r="K25" s="60" t="s">
        <v>173</v>
      </c>
      <c r="L25" s="60" t="s">
        <v>252</v>
      </c>
      <c r="M25" s="60" t="s">
        <v>253</v>
      </c>
      <c r="N25" s="60" t="s">
        <v>251</v>
      </c>
      <c r="O25" s="60" t="s">
        <v>254</v>
      </c>
    </row>
    <row r="26" spans="1:15" ht="38.1" customHeight="1" thickBot="1">
      <c r="A26" s="212" t="str">
        <f>'Summary Data'!$D$1</f>
        <v>2020-2021</v>
      </c>
      <c r="B26" s="213" t="str">
        <f>'Summary Data'!$A$1</f>
        <v>Santiago Canyon College</v>
      </c>
      <c r="C26" s="214">
        <f>'Summary Data'!$E$7</f>
        <v>3183693.1999999997</v>
      </c>
      <c r="D26" s="215">
        <f>'Summary Data'!$E$11</f>
        <v>5</v>
      </c>
      <c r="E26" s="214">
        <f>IF(D26,C26/D26,"Unknown")</f>
        <v>636738.6399999999</v>
      </c>
      <c r="F26" s="306" t="str">
        <f>IF(E26="Unknown","Unknown",IF(E26="Unknown","Unknown",IF(E26&gt;E23,"5",IF(E26&gt;D23,"4-5",IF(E26&gt;C23,"3-4",IF(E26&gt;B23,"2-3",IF(E26&gt;A23,"1-2",IF(E26&lt;A23,"1",0))))))))</f>
        <v>3-4</v>
      </c>
      <c r="G26" s="106"/>
      <c r="H26" s="278">
        <v>0</v>
      </c>
      <c r="I26" s="216">
        <f>SUM(D26+H26)</f>
        <v>5</v>
      </c>
      <c r="J26" s="214">
        <f>IF(I26,C26/I26,"Unknown")</f>
        <v>636738.6399999999</v>
      </c>
      <c r="K26" s="307" t="str">
        <f>IF(J26="Unknown","Unknown",IF(J26&gt;E23,"5",IF(J26&gt;D23,"4-5",IF(J26&gt;C23,"3-4",IF(J26&gt;B23,"2-3",IF(J26&gt;A23,"1-2",IF(J26&lt;A23,"1",0)))))))</f>
        <v>3-4</v>
      </c>
      <c r="L26" s="302">
        <f>'Summary Data'!$E$18</f>
        <v>362053</v>
      </c>
      <c r="M26" s="303">
        <f>SUM(L26/C26)</f>
        <v>0.1137210708619788</v>
      </c>
      <c r="N26" s="302">
        <f>IF(J26="Unknown","Unknown",SUM(J26*H26*M26))</f>
        <v>0</v>
      </c>
      <c r="O26" s="304">
        <f>IF(N26="Unknown","Unknown",SUM(L26+N26))</f>
        <v>362053</v>
      </c>
    </row>
    <row r="27" spans="1:15" ht="17.25" customHeight="1">
      <c r="A27" s="317" t="s">
        <v>278</v>
      </c>
      <c r="B27" s="317"/>
      <c r="C27" s="317"/>
      <c r="D27" s="317"/>
      <c r="E27" s="317"/>
      <c r="F27" s="317"/>
      <c r="G27" s="28"/>
      <c r="H27" s="28"/>
      <c r="I27" s="30"/>
      <c r="J27" s="29"/>
      <c r="K27" s="31"/>
      <c r="L27" s="32"/>
      <c r="M27" s="33"/>
      <c r="N27" s="32"/>
      <c r="O27" s="32"/>
    </row>
    <row r="28" spans="1:15" ht="18.75">
      <c r="G28"/>
      <c r="J28" s="4"/>
    </row>
    <row r="29" spans="1:15">
      <c r="G29"/>
    </row>
    <row r="30" spans="1:15">
      <c r="G30"/>
    </row>
    <row r="31" spans="1:15">
      <c r="G31"/>
    </row>
    <row r="32" spans="1:15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</sheetData>
  <sheetProtection algorithmName="SHA-512" hashValue="Q9f60IXNi/jTxru4te2PuF5CcNQQ8Yn0MuNm1+fDHLe7SNcVNg1L+kKIXihfzx7eaHcO6obePGzdyuxjrg5S9Q==" saltValue="9RygPxLVDSLu2rcbeVUuMw==" spinCount="100000" sheet="1" objects="1" scenarios="1"/>
  <mergeCells count="15">
    <mergeCell ref="A1:O1"/>
    <mergeCell ref="A11:F11"/>
    <mergeCell ref="A2:F2"/>
    <mergeCell ref="H15:O15"/>
    <mergeCell ref="A19:F19"/>
    <mergeCell ref="H6:O6"/>
    <mergeCell ref="H5:O5"/>
    <mergeCell ref="H2:O4"/>
    <mergeCell ref="H11:O13"/>
    <mergeCell ref="H14:O14"/>
    <mergeCell ref="A27:F27"/>
    <mergeCell ref="H23:O23"/>
    <mergeCell ref="H19:O22"/>
    <mergeCell ref="A24:F24"/>
    <mergeCell ref="H24:O24"/>
  </mergeCells>
  <pageMargins left="0.25" right="0.25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492-04A5-487A-8AEC-43A0A0961791}">
  <sheetPr>
    <pageSetUpPr fitToPage="1"/>
  </sheetPr>
  <dimension ref="B1:R39"/>
  <sheetViews>
    <sheetView zoomScale="85" zoomScaleNormal="85" workbookViewId="0">
      <selection activeCell="E37" sqref="E37"/>
    </sheetView>
  </sheetViews>
  <sheetFormatPr defaultRowHeight="15"/>
  <cols>
    <col min="1" max="1" width="2" customWidth="1"/>
    <col min="2" max="2" width="28.140625" customWidth="1"/>
    <col min="3" max="3" width="24.140625" customWidth="1"/>
    <col min="4" max="15" width="16.7109375" customWidth="1"/>
    <col min="17" max="17" width="13.28515625" customWidth="1"/>
  </cols>
  <sheetData>
    <row r="1" spans="2:18" ht="26.25">
      <c r="B1" s="362" t="s">
        <v>145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2:18" ht="26.25">
      <c r="B2" s="362" t="s">
        <v>260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</row>
    <row r="3" spans="2:18" ht="15.75" thickBot="1">
      <c r="B3" s="115"/>
    </row>
    <row r="4" spans="2:18" ht="16.5" thickBot="1">
      <c r="B4" s="116" t="s">
        <v>75</v>
      </c>
      <c r="C4" s="117" t="s">
        <v>230</v>
      </c>
      <c r="D4" s="36"/>
      <c r="F4" s="116" t="s">
        <v>76</v>
      </c>
      <c r="G4" s="366" t="str">
        <f>IFERROR(VLOOKUP($O$4,'Campuswide Expenses'!B7:N19,2,0),"")</f>
        <v>S BUILDING - SECURITY &amp; CAMPUS SAFETY</v>
      </c>
      <c r="H4" s="366"/>
      <c r="I4" s="366"/>
      <c r="J4" s="118" t="s">
        <v>148</v>
      </c>
      <c r="K4" s="119">
        <f>IFERROR(VLOOKUP($O$4,'Campuswide Expenses'!F7:'Campuswide Expenses'!B7:D19,3,0),"")</f>
        <v>2020</v>
      </c>
      <c r="L4" s="118"/>
      <c r="N4" s="120"/>
      <c r="O4" s="42" t="s">
        <v>69</v>
      </c>
      <c r="Q4" s="26"/>
    </row>
    <row r="5" spans="2:18" ht="15.75">
      <c r="B5" s="116"/>
      <c r="C5" s="121"/>
      <c r="Q5" s="26"/>
    </row>
    <row r="6" spans="2:18" ht="16.5" thickBot="1">
      <c r="B6" s="115"/>
      <c r="E6" s="122"/>
      <c r="F6" s="123"/>
      <c r="G6" s="123"/>
      <c r="I6" s="123"/>
      <c r="J6" s="123"/>
      <c r="K6" s="123"/>
      <c r="L6" s="123"/>
      <c r="M6" s="123"/>
      <c r="N6" s="123"/>
      <c r="O6" s="123"/>
      <c r="Q6" s="26"/>
    </row>
    <row r="7" spans="2:18" ht="16.5" customHeight="1" thickBot="1">
      <c r="B7" s="372" t="s">
        <v>97</v>
      </c>
      <c r="C7" s="373"/>
      <c r="D7" s="182">
        <f>'Summary Data'!$E$3</f>
        <v>421768</v>
      </c>
      <c r="E7" s="124"/>
      <c r="F7" s="125" t="s">
        <v>275</v>
      </c>
      <c r="G7" s="380" t="str">
        <f>'Summary Data'!$D$1</f>
        <v>2020-2021</v>
      </c>
      <c r="H7" s="381"/>
      <c r="I7" s="126"/>
      <c r="J7" s="370" t="s">
        <v>77</v>
      </c>
      <c r="K7" s="371"/>
      <c r="L7" s="371"/>
      <c r="M7" s="377" t="s">
        <v>157</v>
      </c>
      <c r="N7" s="378"/>
      <c r="O7" s="379"/>
      <c r="Q7" s="26"/>
    </row>
    <row r="8" spans="2:18" ht="17.25" customHeight="1" thickBot="1">
      <c r="B8" s="363" t="s">
        <v>147</v>
      </c>
      <c r="C8" s="364"/>
      <c r="D8" s="183">
        <f>IFERROR(VLOOKUP($O$4,'Campuswide Expenses'!B6:N19,5,0),"")</f>
        <v>3360</v>
      </c>
      <c r="E8" s="124"/>
      <c r="F8" s="127" t="s">
        <v>78</v>
      </c>
      <c r="G8" s="127" t="s">
        <v>79</v>
      </c>
      <c r="H8" s="200">
        <f>'Summary Data'!$E$35</f>
        <v>1.423104645207792</v>
      </c>
      <c r="I8" s="128"/>
      <c r="J8" s="367" t="s">
        <v>149</v>
      </c>
      <c r="K8" s="368"/>
      <c r="L8" s="368"/>
      <c r="M8" s="368"/>
      <c r="N8" s="368"/>
      <c r="O8" s="369"/>
      <c r="Q8" s="26"/>
    </row>
    <row r="9" spans="2:18" ht="18" customHeight="1" thickBot="1">
      <c r="B9" s="363" t="s">
        <v>154</v>
      </c>
      <c r="C9" s="364"/>
      <c r="D9" s="129">
        <v>0.04</v>
      </c>
      <c r="E9" s="123"/>
      <c r="F9" s="130" t="s">
        <v>80</v>
      </c>
      <c r="G9" s="131" t="s">
        <v>79</v>
      </c>
      <c r="H9" s="201">
        <f>'Summary Data'!$E$32</f>
        <v>0.14471462984389522</v>
      </c>
      <c r="I9" s="128"/>
      <c r="J9" s="365" t="s">
        <v>81</v>
      </c>
      <c r="K9" s="365"/>
      <c r="L9" s="203">
        <f>'Summary Data'!$H$9</f>
        <v>12</v>
      </c>
      <c r="M9" s="365" t="s">
        <v>82</v>
      </c>
      <c r="N9" s="365"/>
      <c r="O9" s="206">
        <f>IF(L9,D7/L9,0)</f>
        <v>35147.333333333336</v>
      </c>
      <c r="Q9" s="26"/>
    </row>
    <row r="10" spans="2:18" ht="16.5" customHeight="1" thickBot="1">
      <c r="B10" s="132" t="s">
        <v>130</v>
      </c>
      <c r="C10" s="133"/>
      <c r="D10" s="129">
        <v>0.03</v>
      </c>
      <c r="E10" s="123"/>
      <c r="F10" s="130" t="s">
        <v>181</v>
      </c>
      <c r="G10" s="131" t="s">
        <v>83</v>
      </c>
      <c r="H10" s="201">
        <f>'Summary Data'!$E$29</f>
        <v>5.0158076864063886E-2</v>
      </c>
      <c r="I10" s="128"/>
      <c r="J10" s="365" t="s">
        <v>84</v>
      </c>
      <c r="K10" s="365"/>
      <c r="L10" s="203">
        <f>'Summary Data'!$H$10</f>
        <v>4</v>
      </c>
      <c r="M10" s="365" t="s">
        <v>178</v>
      </c>
      <c r="N10" s="365"/>
      <c r="O10" s="206">
        <f>IF(L10,D7/L10,0)</f>
        <v>105442</v>
      </c>
      <c r="Q10" s="26"/>
    </row>
    <row r="11" spans="2:18" ht="16.5" customHeight="1" thickBot="1">
      <c r="B11" s="387" t="s">
        <v>131</v>
      </c>
      <c r="C11" s="388"/>
      <c r="D11" s="134">
        <v>0.03</v>
      </c>
      <c r="E11" s="123"/>
      <c r="F11" s="130" t="s">
        <v>85</v>
      </c>
      <c r="G11" s="131" t="s">
        <v>79</v>
      </c>
      <c r="H11" s="202">
        <f>'Summary Data'!$H$26</f>
        <v>4.0103718125019325</v>
      </c>
      <c r="I11" s="128"/>
      <c r="J11" s="365" t="s">
        <v>177</v>
      </c>
      <c r="K11" s="365"/>
      <c r="L11" s="204" t="str">
        <f>'Staffing Expenses '!$K$9</f>
        <v>3-4</v>
      </c>
      <c r="M11" s="390" t="s">
        <v>183</v>
      </c>
      <c r="N11" s="391"/>
      <c r="O11" s="391"/>
      <c r="Q11" s="26"/>
    </row>
    <row r="12" spans="2:18" ht="16.5" customHeight="1" thickBot="1">
      <c r="B12" s="135"/>
      <c r="C12" s="135"/>
      <c r="D12" s="136"/>
      <c r="E12" s="123"/>
      <c r="F12" s="137" t="s">
        <v>86</v>
      </c>
      <c r="G12" s="131" t="s">
        <v>79</v>
      </c>
      <c r="H12" s="202">
        <f>'Summary Data'!$F$41</f>
        <v>2.3135135904098938</v>
      </c>
      <c r="J12" s="365" t="s">
        <v>176</v>
      </c>
      <c r="K12" s="365"/>
      <c r="L12" s="204" t="str">
        <f>'Staffing Expenses '!$K$17</f>
        <v>3-4</v>
      </c>
      <c r="M12" s="390" t="s">
        <v>182</v>
      </c>
      <c r="N12" s="391"/>
      <c r="O12" s="391"/>
      <c r="Q12" s="26"/>
      <c r="R12" t="s">
        <v>38</v>
      </c>
    </row>
    <row r="13" spans="2:18" ht="16.5" customHeight="1" thickBot="1">
      <c r="B13" s="135"/>
      <c r="C13" s="135"/>
      <c r="D13" s="136"/>
      <c r="E13" s="123"/>
      <c r="F13" s="133"/>
      <c r="G13" s="138"/>
      <c r="H13" s="139"/>
      <c r="I13" s="139"/>
      <c r="J13" s="389" t="s">
        <v>87</v>
      </c>
      <c r="K13" s="389"/>
      <c r="L13" s="205">
        <f>IF(O9,D8/O9,0)</f>
        <v>9.5597579712069183E-2</v>
      </c>
      <c r="M13" s="353" t="s">
        <v>88</v>
      </c>
      <c r="N13" s="354"/>
      <c r="O13" s="355"/>
      <c r="Q13" s="26"/>
    </row>
    <row r="14" spans="2:18" ht="16.5" thickBot="1">
      <c r="B14" s="135"/>
      <c r="C14" s="135"/>
      <c r="D14" s="136"/>
      <c r="E14" s="123"/>
      <c r="H14" s="140"/>
      <c r="I14" s="140"/>
      <c r="J14" s="351" t="s">
        <v>89</v>
      </c>
      <c r="K14" s="352"/>
      <c r="L14" s="205">
        <f>IF(O10,D8/O10,0)</f>
        <v>3.1865859904023068E-2</v>
      </c>
      <c r="M14" s="353" t="s">
        <v>88</v>
      </c>
      <c r="N14" s="354"/>
      <c r="O14" s="355"/>
      <c r="Q14" s="26"/>
    </row>
    <row r="15" spans="2:18" ht="16.5" thickBot="1">
      <c r="B15" s="356"/>
      <c r="C15" s="356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Q15" s="26"/>
    </row>
    <row r="16" spans="2:18" ht="31.5" customHeight="1" thickBot="1">
      <c r="B16" s="357"/>
      <c r="C16" s="358"/>
      <c r="D16" s="141" t="s">
        <v>275</v>
      </c>
      <c r="E16" s="384"/>
      <c r="F16" s="385"/>
      <c r="G16" s="385"/>
      <c r="H16" s="385"/>
      <c r="I16" s="385"/>
      <c r="J16" s="385"/>
      <c r="K16" s="385"/>
      <c r="L16" s="385"/>
      <c r="M16" s="385"/>
      <c r="N16" s="385"/>
      <c r="O16" s="382" t="s">
        <v>184</v>
      </c>
      <c r="Q16" s="26"/>
    </row>
    <row r="17" spans="2:17" ht="24.75" customHeight="1" thickBot="1">
      <c r="B17" s="359" t="s">
        <v>262</v>
      </c>
      <c r="C17" s="360"/>
      <c r="D17" s="142"/>
      <c r="E17" s="142" t="s">
        <v>136</v>
      </c>
      <c r="F17" s="142" t="s">
        <v>137</v>
      </c>
      <c r="G17" s="142" t="s">
        <v>138</v>
      </c>
      <c r="H17" s="142" t="s">
        <v>139</v>
      </c>
      <c r="I17" s="142" t="s">
        <v>140</v>
      </c>
      <c r="J17" s="142" t="s">
        <v>141</v>
      </c>
      <c r="K17" s="142" t="s">
        <v>142</v>
      </c>
      <c r="L17" s="142" t="s">
        <v>143</v>
      </c>
      <c r="M17" s="142" t="s">
        <v>144</v>
      </c>
      <c r="N17" s="143" t="s">
        <v>146</v>
      </c>
      <c r="O17" s="383"/>
      <c r="P17" s="26"/>
    </row>
    <row r="18" spans="2:17" ht="31.5" hidden="1" customHeight="1" thickBot="1">
      <c r="B18" s="386" t="s">
        <v>135</v>
      </c>
      <c r="C18" s="386"/>
      <c r="D18" s="144" t="str">
        <f>IFERROR(VLOOKUP($O$4,'Campuswide Expenses'!B7:N19,13,0),"")</f>
        <v/>
      </c>
      <c r="E18" s="145" t="e">
        <f>D18*(1+#REF!)</f>
        <v>#VALUE!</v>
      </c>
      <c r="F18" s="145" t="e">
        <f>E18*(1+#REF!)</f>
        <v>#VALUE!</v>
      </c>
      <c r="G18" s="145" t="e">
        <f>F18*(1+#REF!)</f>
        <v>#VALUE!</v>
      </c>
      <c r="H18" s="145" t="e">
        <f>G18*(1+#REF!)</f>
        <v>#VALUE!</v>
      </c>
      <c r="I18" s="145" t="e">
        <f>H18*(1+#REF!)</f>
        <v>#VALUE!</v>
      </c>
      <c r="J18" s="145" t="e">
        <f>I18*(1+#REF!)</f>
        <v>#VALUE!</v>
      </c>
      <c r="K18" s="145" t="e">
        <f>J18*(1+#REF!)</f>
        <v>#VALUE!</v>
      </c>
      <c r="L18" s="145" t="e">
        <f>K18*(1+#REF!)</f>
        <v>#VALUE!</v>
      </c>
      <c r="M18" s="145" t="e">
        <f>L18*(1+#REF!)</f>
        <v>#VALUE!</v>
      </c>
      <c r="N18" s="146" t="e">
        <f>M18*(1+#REF!)</f>
        <v>#VALUE!</v>
      </c>
      <c r="O18" s="147"/>
      <c r="P18" s="26"/>
    </row>
    <row r="19" spans="2:17" ht="23.25" hidden="1" customHeight="1" thickBot="1">
      <c r="B19" s="361" t="s">
        <v>133</v>
      </c>
      <c r="C19" s="361"/>
      <c r="D19" s="148">
        <f>IFERROR(VLOOKUP($O$4,'Campuswide Expenses'!B7:P19,15,0),"")</f>
        <v>35</v>
      </c>
      <c r="E19" s="148">
        <f>(D19)</f>
        <v>35</v>
      </c>
      <c r="F19" s="148">
        <f>(E19)</f>
        <v>35</v>
      </c>
      <c r="G19" s="148">
        <f t="shared" ref="G19:N19" si="0">(F19)</f>
        <v>35</v>
      </c>
      <c r="H19" s="148">
        <f t="shared" si="0"/>
        <v>35</v>
      </c>
      <c r="I19" s="148">
        <f t="shared" si="0"/>
        <v>35</v>
      </c>
      <c r="J19" s="148">
        <f t="shared" si="0"/>
        <v>35</v>
      </c>
      <c r="K19" s="148">
        <f t="shared" si="0"/>
        <v>35</v>
      </c>
      <c r="L19" s="148">
        <f t="shared" si="0"/>
        <v>35</v>
      </c>
      <c r="M19" s="148">
        <f t="shared" si="0"/>
        <v>35</v>
      </c>
      <c r="N19" s="149">
        <f t="shared" si="0"/>
        <v>35</v>
      </c>
      <c r="O19" s="147"/>
      <c r="P19" s="26"/>
    </row>
    <row r="20" spans="2:17" ht="23.25" hidden="1" customHeight="1" thickBot="1">
      <c r="B20" s="346" t="s">
        <v>134</v>
      </c>
      <c r="C20" s="347"/>
      <c r="D20" s="150" t="e">
        <f>SUM(D18*D19)/100</f>
        <v>#VALUE!</v>
      </c>
      <c r="E20" s="150" t="e">
        <f t="shared" ref="E20:N20" si="1">SUM(E18*E19)/100</f>
        <v>#VALUE!</v>
      </c>
      <c r="F20" s="150" t="e">
        <f t="shared" si="1"/>
        <v>#VALUE!</v>
      </c>
      <c r="G20" s="150" t="e">
        <f t="shared" si="1"/>
        <v>#VALUE!</v>
      </c>
      <c r="H20" s="150" t="e">
        <f t="shared" si="1"/>
        <v>#VALUE!</v>
      </c>
      <c r="I20" s="150" t="e">
        <f t="shared" si="1"/>
        <v>#VALUE!</v>
      </c>
      <c r="J20" s="150" t="e">
        <f t="shared" si="1"/>
        <v>#VALUE!</v>
      </c>
      <c r="K20" s="150" t="e">
        <f t="shared" si="1"/>
        <v>#VALUE!</v>
      </c>
      <c r="L20" s="150" t="e">
        <f t="shared" si="1"/>
        <v>#VALUE!</v>
      </c>
      <c r="M20" s="150" t="e">
        <f t="shared" si="1"/>
        <v>#VALUE!</v>
      </c>
      <c r="N20" s="151" t="e">
        <f t="shared" si="1"/>
        <v>#VALUE!</v>
      </c>
      <c r="O20" s="147"/>
      <c r="P20" s="26"/>
    </row>
    <row r="21" spans="2:17" ht="24" hidden="1" customHeight="1" thickBot="1">
      <c r="B21" s="348" t="s">
        <v>104</v>
      </c>
      <c r="C21" s="349"/>
      <c r="D21" s="150" t="e">
        <f>(D18)-(D20)</f>
        <v>#VALUE!</v>
      </c>
      <c r="E21" s="150" t="e">
        <f t="shared" ref="E21:N21" si="2">(E18)-(E20)</f>
        <v>#VALUE!</v>
      </c>
      <c r="F21" s="150" t="e">
        <f t="shared" si="2"/>
        <v>#VALUE!</v>
      </c>
      <c r="G21" s="150" t="e">
        <f t="shared" si="2"/>
        <v>#VALUE!</v>
      </c>
      <c r="H21" s="150" t="e">
        <f t="shared" si="2"/>
        <v>#VALUE!</v>
      </c>
      <c r="I21" s="150" t="e">
        <f t="shared" si="2"/>
        <v>#VALUE!</v>
      </c>
      <c r="J21" s="150" t="e">
        <f t="shared" si="2"/>
        <v>#VALUE!</v>
      </c>
      <c r="K21" s="150" t="e">
        <f t="shared" si="2"/>
        <v>#VALUE!</v>
      </c>
      <c r="L21" s="150" t="e">
        <f t="shared" si="2"/>
        <v>#VALUE!</v>
      </c>
      <c r="M21" s="150" t="e">
        <f t="shared" si="2"/>
        <v>#VALUE!</v>
      </c>
      <c r="N21" s="151" t="e">
        <f t="shared" si="2"/>
        <v>#VALUE!</v>
      </c>
      <c r="O21" s="147"/>
      <c r="Q21" s="26"/>
    </row>
    <row r="22" spans="2:17" ht="16.5" thickBot="1">
      <c r="B22" s="348" t="s">
        <v>155</v>
      </c>
      <c r="C22" s="350"/>
      <c r="D22" s="184">
        <f>H8*D8</f>
        <v>4781.6316078981808</v>
      </c>
      <c r="E22" s="185">
        <f t="shared" ref="E22:N22" si="3">D22*(1+$D$9)</f>
        <v>4972.896872214108</v>
      </c>
      <c r="F22" s="185">
        <f t="shared" si="3"/>
        <v>5171.8127471026728</v>
      </c>
      <c r="G22" s="185">
        <f t="shared" si="3"/>
        <v>5378.6852569867797</v>
      </c>
      <c r="H22" s="185">
        <f t="shared" si="3"/>
        <v>5593.8326672662506</v>
      </c>
      <c r="I22" s="185">
        <f t="shared" si="3"/>
        <v>5817.5859739569005</v>
      </c>
      <c r="J22" s="185">
        <f t="shared" si="3"/>
        <v>6050.2894129151764</v>
      </c>
      <c r="K22" s="185">
        <f t="shared" si="3"/>
        <v>6292.3009894317838</v>
      </c>
      <c r="L22" s="185">
        <f t="shared" si="3"/>
        <v>6543.9930290090551</v>
      </c>
      <c r="M22" s="185">
        <f t="shared" si="3"/>
        <v>6805.7527501694176</v>
      </c>
      <c r="N22" s="186">
        <f t="shared" si="3"/>
        <v>7077.9828601761947</v>
      </c>
      <c r="O22" s="187">
        <f>SUM(E22:N22)</f>
        <v>59705.132559228339</v>
      </c>
      <c r="Q22" s="26"/>
    </row>
    <row r="23" spans="2:17" ht="16.5" customHeight="1" thickBot="1">
      <c r="B23" s="348" t="s">
        <v>156</v>
      </c>
      <c r="C23" s="350"/>
      <c r="D23" s="188">
        <f>H9*D8</f>
        <v>486.24115627548792</v>
      </c>
      <c r="E23" s="189">
        <f t="shared" ref="E23:N23" si="4">D23*(1+$D$9)</f>
        <v>505.69080252650747</v>
      </c>
      <c r="F23" s="189">
        <f t="shared" si="4"/>
        <v>525.91843462756776</v>
      </c>
      <c r="G23" s="189">
        <f t="shared" si="4"/>
        <v>546.95517201267046</v>
      </c>
      <c r="H23" s="189">
        <f t="shared" si="4"/>
        <v>568.83337889317727</v>
      </c>
      <c r="I23" s="189">
        <f t="shared" si="4"/>
        <v>591.58671404890435</v>
      </c>
      <c r="J23" s="189">
        <f t="shared" si="4"/>
        <v>615.25018261086052</v>
      </c>
      <c r="K23" s="189">
        <f t="shared" si="4"/>
        <v>639.860189915295</v>
      </c>
      <c r="L23" s="189">
        <f t="shared" si="4"/>
        <v>665.45459751190685</v>
      </c>
      <c r="M23" s="189">
        <f t="shared" si="4"/>
        <v>692.07278141238316</v>
      </c>
      <c r="N23" s="190">
        <f t="shared" si="4"/>
        <v>719.75569266887851</v>
      </c>
      <c r="O23" s="187">
        <f>SUM(E23:N23)</f>
        <v>6071.3779462281518</v>
      </c>
      <c r="Q23" s="26"/>
    </row>
    <row r="24" spans="2:17" ht="16.5" thickBot="1">
      <c r="B24" s="348" t="s">
        <v>153</v>
      </c>
      <c r="C24" s="350"/>
      <c r="D24" s="188">
        <f>H10*D8</f>
        <v>168.53113826325466</v>
      </c>
      <c r="E24" s="189">
        <f t="shared" ref="E24:N24" si="5">D24*(1+$D$9)</f>
        <v>175.27238379378485</v>
      </c>
      <c r="F24" s="189">
        <f t="shared" si="5"/>
        <v>182.28327914553626</v>
      </c>
      <c r="G24" s="189">
        <f t="shared" si="5"/>
        <v>189.5746103113577</v>
      </c>
      <c r="H24" s="189">
        <f t="shared" si="5"/>
        <v>197.15759472381202</v>
      </c>
      <c r="I24" s="189">
        <f t="shared" si="5"/>
        <v>205.04389851276451</v>
      </c>
      <c r="J24" s="189">
        <f t="shared" si="5"/>
        <v>213.24565445327511</v>
      </c>
      <c r="K24" s="189">
        <f t="shared" si="5"/>
        <v>221.77548063140611</v>
      </c>
      <c r="L24" s="189">
        <f t="shared" si="5"/>
        <v>230.64649985666236</v>
      </c>
      <c r="M24" s="189">
        <f t="shared" si="5"/>
        <v>239.87235985092886</v>
      </c>
      <c r="N24" s="190">
        <f t="shared" si="5"/>
        <v>249.46725424496603</v>
      </c>
      <c r="O24" s="187">
        <f>SUM(E24:N24)</f>
        <v>2104.3390155244938</v>
      </c>
      <c r="Q24" s="26"/>
    </row>
    <row r="25" spans="2:17" ht="16.5" thickBot="1">
      <c r="B25" s="348" t="s">
        <v>103</v>
      </c>
      <c r="C25" s="350"/>
      <c r="D25" s="191">
        <f>H11*D8</f>
        <v>13474.849290006494</v>
      </c>
      <c r="E25" s="189">
        <f t="shared" ref="E25:N25" si="6">D25*(1+$D$10)</f>
        <v>13879.094768706689</v>
      </c>
      <c r="F25" s="189">
        <f t="shared" si="6"/>
        <v>14295.46761176789</v>
      </c>
      <c r="G25" s="189">
        <f t="shared" si="6"/>
        <v>14724.331640120927</v>
      </c>
      <c r="H25" s="189">
        <f t="shared" si="6"/>
        <v>15166.061589324556</v>
      </c>
      <c r="I25" s="189">
        <f t="shared" si="6"/>
        <v>15621.043437004293</v>
      </c>
      <c r="J25" s="189">
        <f t="shared" si="6"/>
        <v>16089.674740114422</v>
      </c>
      <c r="K25" s="189">
        <f t="shared" si="6"/>
        <v>16572.364982317857</v>
      </c>
      <c r="L25" s="189">
        <f t="shared" si="6"/>
        <v>17069.535931787392</v>
      </c>
      <c r="M25" s="189">
        <f t="shared" si="6"/>
        <v>17581.622009741015</v>
      </c>
      <c r="N25" s="190">
        <f t="shared" si="6"/>
        <v>18109.070670033245</v>
      </c>
      <c r="O25" s="187">
        <f>SUM(E25:N25)</f>
        <v>159108.26738091829</v>
      </c>
      <c r="Q25" s="26"/>
    </row>
    <row r="26" spans="2:17" ht="16.5" thickBot="1">
      <c r="B26" s="348" t="s">
        <v>105</v>
      </c>
      <c r="C26" s="350"/>
      <c r="D26" s="192">
        <f>H12*D8</f>
        <v>7773.4056637772428</v>
      </c>
      <c r="E26" s="193">
        <f t="shared" ref="E26:N26" si="7">D26*(1+$D$11)</f>
        <v>8006.6078336905603</v>
      </c>
      <c r="F26" s="193">
        <f t="shared" si="7"/>
        <v>8246.8060687012767</v>
      </c>
      <c r="G26" s="193">
        <f t="shared" si="7"/>
        <v>8494.2102507623149</v>
      </c>
      <c r="H26" s="193">
        <f t="shared" si="7"/>
        <v>8749.0365582851846</v>
      </c>
      <c r="I26" s="193">
        <f t="shared" si="7"/>
        <v>9011.5076550337399</v>
      </c>
      <c r="J26" s="193">
        <f t="shared" si="7"/>
        <v>9281.852884684753</v>
      </c>
      <c r="K26" s="193">
        <f t="shared" si="7"/>
        <v>9560.3084712252967</v>
      </c>
      <c r="L26" s="193">
        <f t="shared" si="7"/>
        <v>9847.1177253620554</v>
      </c>
      <c r="M26" s="193">
        <f t="shared" si="7"/>
        <v>10142.531257122917</v>
      </c>
      <c r="N26" s="194">
        <f t="shared" si="7"/>
        <v>10446.807194836605</v>
      </c>
      <c r="O26" s="187">
        <f>SUM(E26:N26)</f>
        <v>91786.785899704701</v>
      </c>
      <c r="Q26" s="26"/>
    </row>
    <row r="27" spans="2:17" ht="16.5" thickBot="1">
      <c r="B27" s="346" t="s">
        <v>261</v>
      </c>
      <c r="C27" s="347"/>
      <c r="D27" s="195">
        <f>SUM(D22:D26)</f>
        <v>26684.65885622066</v>
      </c>
      <c r="E27" s="195">
        <f>SUM(E22:E26)</f>
        <v>27539.56266093165</v>
      </c>
      <c r="F27" s="195">
        <f t="shared" ref="F27:N27" si="8">SUM(F22:F26)</f>
        <v>28422.288141344943</v>
      </c>
      <c r="G27" s="195">
        <f t="shared" si="8"/>
        <v>29333.756930194046</v>
      </c>
      <c r="H27" s="195">
        <f t="shared" si="8"/>
        <v>30274.921788492979</v>
      </c>
      <c r="I27" s="195">
        <f t="shared" si="8"/>
        <v>31246.767678556604</v>
      </c>
      <c r="J27" s="195">
        <f t="shared" si="8"/>
        <v>32250.312874778487</v>
      </c>
      <c r="K27" s="195">
        <f t="shared" si="8"/>
        <v>33286.610113521638</v>
      </c>
      <c r="L27" s="195">
        <f t="shared" si="8"/>
        <v>34356.747783527069</v>
      </c>
      <c r="M27" s="195">
        <f t="shared" si="8"/>
        <v>35461.85115829666</v>
      </c>
      <c r="N27" s="196">
        <f t="shared" si="8"/>
        <v>36603.083671959888</v>
      </c>
      <c r="O27" s="187">
        <f>SUM(O22:O26)</f>
        <v>318775.90280160401</v>
      </c>
      <c r="Q27" s="26"/>
    </row>
    <row r="28" spans="2:17" ht="6.75" customHeight="1" thickBot="1">
      <c r="B28" s="342"/>
      <c r="C28" s="343"/>
      <c r="D28" s="154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6"/>
      <c r="Q28" s="26"/>
    </row>
    <row r="29" spans="2:17" ht="33.75" hidden="1" customHeight="1" thickBot="1">
      <c r="B29" s="375"/>
      <c r="C29" s="376"/>
      <c r="D29" s="157" t="e">
        <f>(#REF!)</f>
        <v>#REF!</v>
      </c>
      <c r="E29" s="152" t="e">
        <f>(D29 + D30)*1.06</f>
        <v>#REF!</v>
      </c>
      <c r="F29" s="152" t="e">
        <f>(E29 + E30)*1.06</f>
        <v>#REF!</v>
      </c>
      <c r="G29" s="152" t="e">
        <f t="shared" ref="G29:N29" si="9">(F29 + F30)*1.06</f>
        <v>#REF!</v>
      </c>
      <c r="H29" s="152" t="e">
        <f t="shared" si="9"/>
        <v>#REF!</v>
      </c>
      <c r="I29" s="152" t="e">
        <f t="shared" si="9"/>
        <v>#REF!</v>
      </c>
      <c r="J29" s="152" t="e">
        <f t="shared" si="9"/>
        <v>#REF!</v>
      </c>
      <c r="K29" s="152" t="e">
        <f t="shared" si="9"/>
        <v>#REF!</v>
      </c>
      <c r="L29" s="152" t="e">
        <f t="shared" si="9"/>
        <v>#REF!</v>
      </c>
      <c r="M29" s="152" t="e">
        <f t="shared" si="9"/>
        <v>#REF!</v>
      </c>
      <c r="N29" s="153" t="e">
        <f t="shared" si="9"/>
        <v>#REF!</v>
      </c>
      <c r="O29" s="147" t="s">
        <v>151</v>
      </c>
      <c r="Q29" s="26"/>
    </row>
    <row r="30" spans="2:17" ht="34.5" customHeight="1" thickBot="1">
      <c r="B30" s="344" t="s">
        <v>185</v>
      </c>
      <c r="C30" s="345"/>
      <c r="D30" s="162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158">
        <f>SUM(E30:N30)</f>
        <v>0</v>
      </c>
      <c r="Q30" s="26"/>
    </row>
    <row r="31" spans="2:17" ht="16.5" customHeight="1" thickBot="1">
      <c r="B31" s="346" t="s">
        <v>259</v>
      </c>
      <c r="C31" s="347"/>
      <c r="D31" s="197">
        <f>SUM(D27+D30)</f>
        <v>26684.65885622066</v>
      </c>
      <c r="E31" s="197">
        <f t="shared" ref="E31:O31" si="10">SUM(E27+E30)</f>
        <v>27539.56266093165</v>
      </c>
      <c r="F31" s="197">
        <f t="shared" si="10"/>
        <v>28422.288141344943</v>
      </c>
      <c r="G31" s="197">
        <f t="shared" si="10"/>
        <v>29333.756930194046</v>
      </c>
      <c r="H31" s="197">
        <f t="shared" si="10"/>
        <v>30274.921788492979</v>
      </c>
      <c r="I31" s="197">
        <f t="shared" si="10"/>
        <v>31246.767678556604</v>
      </c>
      <c r="J31" s="197">
        <f t="shared" si="10"/>
        <v>32250.312874778487</v>
      </c>
      <c r="K31" s="197">
        <f t="shared" si="10"/>
        <v>33286.610113521638</v>
      </c>
      <c r="L31" s="197">
        <f t="shared" si="10"/>
        <v>34356.747783527069</v>
      </c>
      <c r="M31" s="197">
        <f t="shared" si="10"/>
        <v>35461.85115829666</v>
      </c>
      <c r="N31" s="198">
        <f t="shared" si="10"/>
        <v>36603.083671959888</v>
      </c>
      <c r="O31" s="199">
        <f t="shared" si="10"/>
        <v>318775.90280160401</v>
      </c>
      <c r="Q31" s="26"/>
    </row>
    <row r="32" spans="2:17" ht="16.5" thickBot="1">
      <c r="B32" s="159"/>
      <c r="C32" s="160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2"/>
      <c r="Q32" s="26"/>
    </row>
    <row r="33" spans="2:17" ht="26.25" customHeight="1">
      <c r="B33" s="374" t="s">
        <v>186</v>
      </c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26"/>
    </row>
    <row r="34" spans="2:17">
      <c r="B34" s="308" t="s">
        <v>278</v>
      </c>
      <c r="C34" s="308"/>
      <c r="D34" s="308"/>
      <c r="E34" s="308"/>
      <c r="Q34" s="26"/>
    </row>
    <row r="35" spans="2:17">
      <c r="Q35" s="26"/>
    </row>
    <row r="36" spans="2:17">
      <c r="Q36" s="26"/>
    </row>
    <row r="37" spans="2:17">
      <c r="Q37" s="26"/>
    </row>
    <row r="38" spans="2:17">
      <c r="Q38" s="26"/>
    </row>
    <row r="39" spans="2:17">
      <c r="Q39" s="26"/>
    </row>
  </sheetData>
  <sheetProtection algorithmName="SHA-512" hashValue="Q0utKlTaZ8wHAj1dkM7uiIOrkID7GTF4Fyv1N0+LqQlDTGwrajvVZchs2UsZqyq7Vim18HcIfQm45NCa46adRw==" saltValue="BB3fNy3W66M600C1Klq8Lg==" spinCount="100000" sheet="1" objects="1" scenarios="1"/>
  <mergeCells count="43">
    <mergeCell ref="B33:O33"/>
    <mergeCell ref="B29:C29"/>
    <mergeCell ref="B24:C24"/>
    <mergeCell ref="M7:O7"/>
    <mergeCell ref="G7:H7"/>
    <mergeCell ref="O16:O17"/>
    <mergeCell ref="E16:N16"/>
    <mergeCell ref="J9:K9"/>
    <mergeCell ref="M9:N9"/>
    <mergeCell ref="B18:C18"/>
    <mergeCell ref="J11:K11"/>
    <mergeCell ref="B11:C11"/>
    <mergeCell ref="J13:K13"/>
    <mergeCell ref="M11:O11"/>
    <mergeCell ref="J12:K12"/>
    <mergeCell ref="M12:O12"/>
    <mergeCell ref="B1:O1"/>
    <mergeCell ref="B2:O2"/>
    <mergeCell ref="B8:C8"/>
    <mergeCell ref="B9:C9"/>
    <mergeCell ref="J10:K10"/>
    <mergeCell ref="M10:N10"/>
    <mergeCell ref="G4:I4"/>
    <mergeCell ref="J8:O8"/>
    <mergeCell ref="J7:L7"/>
    <mergeCell ref="B7:C7"/>
    <mergeCell ref="J14:K14"/>
    <mergeCell ref="M13:O13"/>
    <mergeCell ref="M14:O14"/>
    <mergeCell ref="B26:C26"/>
    <mergeCell ref="B27:C27"/>
    <mergeCell ref="B23:C23"/>
    <mergeCell ref="B25:C25"/>
    <mergeCell ref="B15:C15"/>
    <mergeCell ref="B16:C16"/>
    <mergeCell ref="B17:C17"/>
    <mergeCell ref="B20:C20"/>
    <mergeCell ref="B19:C19"/>
    <mergeCell ref="B28:C28"/>
    <mergeCell ref="B30:C30"/>
    <mergeCell ref="B31:C31"/>
    <mergeCell ref="B21:C21"/>
    <mergeCell ref="B22:C22"/>
  </mergeCells>
  <pageMargins left="0.25" right="0.25" top="0.75" bottom="0.75" header="0.3" footer="0.3"/>
  <pageSetup scale="46" orientation="landscape" r:id="rId1"/>
  <ignoredErrors>
    <ignoredError sqref="O3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E3147A-611A-44AD-9E1F-7695600B9066}">
          <x14:formula1>
            <xm:f>'Campuswide Expenses'!$B$7:$B$19</xm:f>
          </x14:formula1>
          <xm:sqref>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1F17-DBDD-480C-A483-108B2D6450B3}">
  <sheetPr>
    <pageSetUpPr fitToPage="1"/>
  </sheetPr>
  <dimension ref="B1:AL31"/>
  <sheetViews>
    <sheetView zoomScale="85" zoomScaleNormal="85" workbookViewId="0">
      <selection activeCell="C31" sqref="C31"/>
    </sheetView>
  </sheetViews>
  <sheetFormatPr defaultRowHeight="15"/>
  <cols>
    <col min="1" max="1" width="2.28515625" customWidth="1"/>
    <col min="2" max="2" width="10.140625" customWidth="1"/>
    <col min="3" max="3" width="41" customWidth="1"/>
    <col min="4" max="4" width="9.85546875" customWidth="1"/>
    <col min="5" max="5" width="10.42578125" customWidth="1"/>
    <col min="6" max="7" width="10.28515625" customWidth="1"/>
    <col min="8" max="8" width="8.5703125" hidden="1" customWidth="1"/>
    <col min="9" max="10" width="9.140625" style="3" hidden="1" customWidth="1"/>
    <col min="11" max="11" width="11.5703125" style="3" hidden="1" customWidth="1"/>
    <col min="12" max="12" width="9.140625" style="3" hidden="1" customWidth="1"/>
    <col min="13" max="13" width="19.140625" style="3" hidden="1" customWidth="1"/>
    <col min="14" max="14" width="14.7109375" hidden="1" customWidth="1"/>
    <col min="15" max="15" width="16.140625" hidden="1" customWidth="1"/>
    <col min="16" max="16" width="11.7109375" hidden="1" customWidth="1"/>
    <col min="17" max="18" width="10.7109375" hidden="1" customWidth="1"/>
    <col min="19" max="21" width="10.7109375" customWidth="1"/>
    <col min="22" max="22" width="12.42578125" customWidth="1"/>
    <col min="23" max="23" width="18.7109375" customWidth="1"/>
    <col min="24" max="36" width="15.85546875" hidden="1" customWidth="1"/>
    <col min="37" max="38" width="18" customWidth="1"/>
    <col min="40" max="40" width="96.7109375" customWidth="1"/>
  </cols>
  <sheetData>
    <row r="1" spans="2:38" ht="15.75" thickBot="1"/>
    <row r="2" spans="2:38" ht="51.75" customHeight="1" thickBot="1">
      <c r="B2" s="403" t="s">
        <v>263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404"/>
      <c r="AJ2" s="404"/>
      <c r="AK2" s="404"/>
      <c r="AL2" s="405"/>
    </row>
    <row r="3" spans="2:38" ht="27" thickBot="1">
      <c r="B3" s="398" t="str">
        <f>'Summary Data'!$A$1</f>
        <v>Santiago Canyon College</v>
      </c>
      <c r="C3" s="399"/>
      <c r="D3" s="399"/>
      <c r="E3" s="399"/>
      <c r="F3" s="399"/>
      <c r="G3" s="399"/>
      <c r="H3" s="399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54" t="s">
        <v>276</v>
      </c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406" t="str">
        <f>'Summary Data'!$D$1</f>
        <v>2020-2021</v>
      </c>
      <c r="AL3" s="407"/>
    </row>
    <row r="4" spans="2:38" ht="9.75" hidden="1" customHeight="1" thickBot="1"/>
    <row r="5" spans="2:38" ht="63" customHeight="1" thickBot="1">
      <c r="B5" s="16" t="s">
        <v>41</v>
      </c>
      <c r="C5" s="16" t="s">
        <v>42</v>
      </c>
      <c r="D5" s="16" t="s">
        <v>43</v>
      </c>
      <c r="E5" s="16" t="s">
        <v>44</v>
      </c>
      <c r="F5" s="16" t="s">
        <v>45</v>
      </c>
      <c r="G5" s="16" t="s">
        <v>46</v>
      </c>
      <c r="H5" s="16" t="s">
        <v>47</v>
      </c>
      <c r="I5" s="17" t="s">
        <v>48</v>
      </c>
      <c r="J5" s="17" t="s">
        <v>49</v>
      </c>
      <c r="K5" s="17" t="s">
        <v>50</v>
      </c>
      <c r="L5" s="17" t="s">
        <v>51</v>
      </c>
      <c r="M5" s="17" t="s">
        <v>52</v>
      </c>
      <c r="N5" s="16" t="s">
        <v>53</v>
      </c>
      <c r="O5" s="16" t="s">
        <v>54</v>
      </c>
      <c r="P5" s="16" t="s">
        <v>55</v>
      </c>
      <c r="Q5" s="16" t="s">
        <v>31</v>
      </c>
      <c r="R5" s="16" t="s">
        <v>32</v>
      </c>
      <c r="S5" s="16" t="s">
        <v>152</v>
      </c>
      <c r="T5" s="16" t="s">
        <v>30</v>
      </c>
      <c r="U5" s="16" t="s">
        <v>34</v>
      </c>
      <c r="V5" s="16" t="s">
        <v>33</v>
      </c>
      <c r="W5" s="18" t="s">
        <v>277</v>
      </c>
      <c r="X5" s="19" t="s">
        <v>106</v>
      </c>
      <c r="Y5" s="19" t="s">
        <v>107</v>
      </c>
      <c r="Z5" s="19" t="s">
        <v>108</v>
      </c>
      <c r="AA5" s="19" t="s">
        <v>109</v>
      </c>
      <c r="AB5" s="19" t="s">
        <v>179</v>
      </c>
      <c r="AC5" s="19" t="s">
        <v>111</v>
      </c>
      <c r="AD5" s="19" t="s">
        <v>112</v>
      </c>
      <c r="AE5" s="19" t="s">
        <v>108</v>
      </c>
      <c r="AF5" s="19" t="s">
        <v>109</v>
      </c>
      <c r="AG5" s="19" t="s">
        <v>179</v>
      </c>
      <c r="AH5" s="19" t="s">
        <v>111</v>
      </c>
      <c r="AI5" s="19" t="s">
        <v>112</v>
      </c>
      <c r="AJ5" s="277" t="s">
        <v>207</v>
      </c>
      <c r="AK5" s="18" t="s">
        <v>264</v>
      </c>
      <c r="AL5" s="18" t="s">
        <v>265</v>
      </c>
    </row>
    <row r="6" spans="2:38" ht="15.75" thickBot="1">
      <c r="B6" s="20" t="s">
        <v>56</v>
      </c>
      <c r="C6" s="21"/>
      <c r="D6" s="21"/>
      <c r="E6" s="21"/>
      <c r="F6" s="21"/>
      <c r="G6" s="37"/>
      <c r="H6" s="34"/>
      <c r="I6" s="22"/>
      <c r="J6" s="23"/>
      <c r="K6" s="24"/>
      <c r="L6" s="24"/>
      <c r="M6" s="25" t="s">
        <v>57</v>
      </c>
      <c r="N6" s="414" t="s">
        <v>58</v>
      </c>
      <c r="O6" s="415"/>
      <c r="P6" s="400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2"/>
    </row>
    <row r="7" spans="2:38" ht="15.75">
      <c r="B7" s="217" t="s">
        <v>59</v>
      </c>
      <c r="C7" s="290" t="s">
        <v>216</v>
      </c>
      <c r="D7" s="217">
        <v>1980</v>
      </c>
      <c r="E7" s="217"/>
      <c r="F7" s="228">
        <v>23291</v>
      </c>
      <c r="G7" s="228">
        <v>17393</v>
      </c>
      <c r="H7" s="219">
        <v>0.65859999999999996</v>
      </c>
      <c r="I7" s="220">
        <v>112</v>
      </c>
      <c r="J7" s="221">
        <v>1272</v>
      </c>
      <c r="K7" s="222"/>
      <c r="L7" s="222" t="s">
        <v>59</v>
      </c>
      <c r="M7" s="223">
        <f>'FUSION Assessment'!$F$4</f>
        <v>10833109.92</v>
      </c>
      <c r="N7" s="224" t="str">
        <f>IFERROR(VLOOKUP($AK$3,'Summary Data'!#REF!,2,0),"")</f>
        <v/>
      </c>
      <c r="O7" s="218" t="e">
        <f>N7*80%</f>
        <v>#VALUE!</v>
      </c>
      <c r="P7" s="225">
        <v>80</v>
      </c>
      <c r="Q7" s="163">
        <f t="shared" ref="Q7:Q19" si="0">(F7)*$H$24</f>
        <v>36516.078735228846</v>
      </c>
      <c r="R7" s="163">
        <f t="shared" ref="R7:R19" si="1">F7*$H$25</f>
        <v>1168.2317682409121</v>
      </c>
      <c r="S7" s="163">
        <f>SUM(Q7:R7)</f>
        <v>37684.310503469758</v>
      </c>
      <c r="T7" s="163">
        <f t="shared" ref="T7:T19" si="2">F7*$H$26</f>
        <v>53884.045034236835</v>
      </c>
      <c r="U7" s="164">
        <f t="shared" ref="U7:U19" si="3">F7*$H$27</f>
        <v>0</v>
      </c>
      <c r="V7" s="163">
        <f t="shared" ref="V7:V19" si="4">F7*$H$28</f>
        <v>93405.569884982513</v>
      </c>
      <c r="W7" s="163">
        <f>S7+T7+U7+V7</f>
        <v>184973.92542268912</v>
      </c>
      <c r="X7" s="165" t="e">
        <f t="shared" ref="X7:X19" si="5">N7*((1+5%)/1)^(10*1)</f>
        <v>#VALUE!</v>
      </c>
      <c r="Y7" s="166" t="e">
        <f>X7*80%</f>
        <v>#VALUE!</v>
      </c>
      <c r="Z7" s="165">
        <f>Q7*((1+4%)/1)^(1*1)+Q7*((1+4%)/1)^(2*1)+Q7*((1+4%)/1)^(3*1)+Q7*((1+4%)/1)^(4*1)+Q7*((1+4%)/1)^(5*1)+Q7*((1+4%)/1)^(6*1)+Q7*((1+4%)/1)^(7*1)+Q7*((1+4%)/1)^(8*1)+Q7*((1+4%)/1)^(9*1)+Q7*((1+4%)/1)^(10*1)</f>
        <v>455952.59112577001</v>
      </c>
      <c r="AA7" s="165">
        <f>R7*((1+4%)/1)^(1*1)+R7*((1+4%)/1)^(2*1)+R7*((1+4%)/1)^(3*1)+R7*((1+4%)/1)^(4*1)+R7*((1+4%)/1)^(5*1)+R7*((1+4%)/1)^(6*1)+R7*((1+4%)/1)^(7*1)+R7*((1+4%)/1)^(8*1)+R7*((1+4%)/1)^(9*1)+R7*((1+4%)/1)^(10*1)</f>
        <v>14586.952384101487</v>
      </c>
      <c r="AB7" s="165">
        <f>T7*((1+3%)/1)^(1*1)+T7*((1+3%)/1)^(2*1)+T7*((1+3%)/1)^(3*1)+T7*((1+3%)/1)^(4*1)+T7*((1+3%)/1)^(5*1)+T7*((1+3%)/1)^(6*1)+T7*((1+3%)/1)^(7*1)+T7*((1+3%)/1)^(8*1)+T7*((1+3%)/1)^(9*1)+T7*((1+3%)/1)^(10*1)</f>
        <v>636251.79475893511</v>
      </c>
      <c r="AC7" s="165">
        <f>U7*((1+3%)/1)^(1*1)+U7*((1+3%)/1)^(2*1)+U7*((1+3%)/1)^(3*1)+U7*((1+3%)/1)^(4*1)+U7*((1+3%)/1)^(5*1)+U7*((1+3%)/1)^(6*1)+U7*((1+3%)/1)^(7*1)+U7*((1+3%)/1)^(8*1)+U7*((1+3%)/1)^(9*1)+U7*((1+3%)/1)^(10*1)</f>
        <v>0</v>
      </c>
      <c r="AD7" s="165">
        <f>V7*((1+3%)/1)^(1*1)+V7*((1+3%)/1)^(2*1)+V7*((1+3%)/1)^(3*1)+V7*((1+3%)/1)^(4*1)+V7*((1+3%)/1)^(5*1)+V7*((1+3%)/1)^(6*1)+V7*((1+3%)/1)^(7*1)+V7*((1+3%)/1)^(8*1)+V7*((1+3%)/1)^(9*1)+V7*((1+3%)/1)^(10*1)</f>
        <v>1102913.8855860021</v>
      </c>
      <c r="AE7" s="165">
        <f t="shared" ref="AE7:AE19" si="6">Q7*((1+4%)/1)^(1*1)+Q7*((1+4%)/1)^(2*1)+Q7*((1+4%)/1)^(3*1)+Q7*((1+4%)/1)^(4*1)+Q7*((1+4%)/1)^(5*1)+Q7*((1+4%)/1)^(6*1)+Q7*((1+4%)/1)^(7*1)+Q7*((1+4%)/1)^(8*1)+Q7*((1+4%)/1)^(9*1)+Q7*((1+4%)/1)^(10*1)+Q7*((1+4%)/1)^(11*1)+Q7*((1+4%)/1)^(12*1)+Q7*((1+4%)/1)^(13*1)+Q7*((1+4%)/1)^(AE775*1)+Q7*((1+4%)/1)^(15*1)+Q7*((1+4%)/1)^(16*1)+Q7*((1+4%)/1)^(17*1)+Q7*((1+4%)/1)^(18*1)+Q7*((1+4%)/1)^(19*1)+Q7*((1+4%)/1)^(20*1)</f>
        <v>1104155.8535640254</v>
      </c>
      <c r="AF7" s="165">
        <f>R7*((1+4%)/1)^(1*1)+R7*((1+4%)/1)^(2*1)+R7*((1+4%)/1)^(3*1)+R7*((1+4%)/1)^(4*1)+R7*((1+4%)/1)^(5*1)+R7*((1+4%)/1)^(6*1)+R7*((1+4%)/1)^(7*1)+R7*((1+4%)/1)^(8*1)+R7*((1+4%)/1)^(9*1)+R7*((1+4%)/1)^(10*1)+R7*((1+4%)/1)^(11*1)+R7*((1+4%)/1)^(12*1)+R7*((1+4%)/1)^(13*1)+R7*((1+4%)/1)^(14*1)+R7*((1+4%)/1)^(15*1)+R7*((1+4%)/1)^(16*1)+R7*((1+4%)/1)^(17*1)+R7*((1+4%)/1)^(18*1)+R7*((1+4%)/1)^(19*1)+R7*((1+4%)/1)^(20*1)</f>
        <v>36179.205285043732</v>
      </c>
      <c r="AG7" s="165">
        <f>T7*((1+4%)/1)^(1*1)+T7*((1+4%)/1)^(2*1)+T7*((1+4%)/1)^(3*1)+T7*((1+4%)/1)^(4*1)+T7*((1+4%)/1)^(5*1)+T7*((1+4%)/1)^(6*1)+T7*((1+4%)/1)^(7*1)+T7*((1+4%)/1)^(8*1)+T7*((1+4%)/1)^(9*1)+T7*((1+4%)/1)^(10*1)+T7*((1+4%)/1)^(11*1)+T7*((1+4%)/1)^(12*1)+T7*((1+4%)/1)^(13*1)+T7*((1+4%)/1)^(14*1)+T7*((1+4%)/1)^(15*1)+T7*((1+4%)/1)^(16*1)+T7*((1+4%)/1)^(17*1)+T7*((1+4%)/1)^(18*1)+T7*((1+4%)/1)^(19*1)+T7*((1+4%)/1)^(20*1)</f>
        <v>1668745.8600938979</v>
      </c>
      <c r="AH7" s="165">
        <f>U7*((1+4%)/1)^(1*1)+U7*((1+4%)/1)^(2*1)+U7*((1+4%)/1)^(3*1)+U7*((1+4%)/1)^(4*1)+U7*((1+4%)/1)^(5*1)+U7*((1+4%)/1)^(6*1)+U7*((1+4%)/1)^(7*1)+U7*((1+4%)/1)^(8*1)+U7*((1+4%)/1)^(9*1)+U7*((1+4%)/1)^(10*1)+U7*((1+4%)/1)^(11*1)+U7*((1+4%)/1)^(12*1)+U7*((1+4%)/1)^(13*1)+U7*((1+4%)/1)^(14*1)+U7*((1+4%)/1)^(15*1)+U7*((1+4%)/1)^(16*1)+U7*((1+4%)/1)^(17*1)+U7*((1+4%)/1)^(18*1)+U7*((1+4%)/1)^(19*1)+U7*((1+4%)/1)^(20*1)</f>
        <v>0</v>
      </c>
      <c r="AI7" s="165">
        <f>V7*((1+4%)/1)^(1*1)+V7*((1+4%)/1)^(2*1)+V7*((1+4%)/1)^(3*1)+V7*((1+4%)/1)^(4*1)+V7*((1+4%)/1)^(5*1)+V7*((1+4%)/1)^(6*1)+V7*((1+4%)/1)^(7*1)+V7*((1+4%)/1)^(8*1)+V7*((1+4%)/1)^(9*1)+V7*((1+4%)/1)^(10*1)+V7*((1+4%)/1)^(11*1)+V7*((1+4%)/1)^(12*1)+V7*((1+4%)/1)^(13*1)+V7*((1+4%)/1)^(14*1)+V7*((1+4%)/1)^(15*1)+V7*((1+4%)/1)^(16*1)+V7*((1+4%)/1)^(17*1)+V7*((1+4%)/1)^(18*1)+V7*((1+4%)/1)^(19*1)+V7*((1+4%)/1)^(20*1)</f>
        <v>2892695.9354339316</v>
      </c>
      <c r="AJ7" s="165">
        <f>IF('Expenses by Building'!$O$4=B7,'Expenses by Building'!$O$30,0)</f>
        <v>0</v>
      </c>
      <c r="AK7" s="163">
        <f>Z7+AA7+AB7+AC7+AD7+AJ7</f>
        <v>2209705.2238548091</v>
      </c>
      <c r="AL7" s="163">
        <f>AE7+AF7+AG7+AH7+AI7+AJ7</f>
        <v>5701776.8543768991</v>
      </c>
    </row>
    <row r="8" spans="2:38">
      <c r="B8" s="226" t="s">
        <v>60</v>
      </c>
      <c r="C8" s="290" t="s">
        <v>217</v>
      </c>
      <c r="D8" s="226">
        <v>1980</v>
      </c>
      <c r="E8" s="226"/>
      <c r="F8" s="228">
        <v>22496</v>
      </c>
      <c r="G8" s="228">
        <v>15539</v>
      </c>
      <c r="H8" s="229">
        <v>0.71409999999999996</v>
      </c>
      <c r="I8" s="230">
        <v>34</v>
      </c>
      <c r="J8" s="230">
        <v>768</v>
      </c>
      <c r="K8" s="231"/>
      <c r="L8" s="231" t="s">
        <v>59</v>
      </c>
      <c r="M8" s="223">
        <f>'FUSION Assessment'!$F$5</f>
        <v>10463339.52</v>
      </c>
      <c r="N8" s="224" t="str">
        <f>IFERROR(VLOOKUP($AK$3,'Summary Data'!#REF!,3,0),"")</f>
        <v/>
      </c>
      <c r="O8" s="218" t="e">
        <f>N8*80%</f>
        <v>#VALUE!</v>
      </c>
      <c r="P8" s="226">
        <v>80</v>
      </c>
      <c r="Q8" s="163">
        <f t="shared" si="0"/>
        <v>35269.662411562756</v>
      </c>
      <c r="R8" s="163">
        <f t="shared" si="1"/>
        <v>1128.3560971339812</v>
      </c>
      <c r="S8" s="163">
        <f t="shared" ref="S8:S19" si="7">SUM(Q8:R8)</f>
        <v>36398.018508696739</v>
      </c>
      <c r="T8" s="163">
        <f t="shared" si="2"/>
        <v>52044.80172986097</v>
      </c>
      <c r="U8" s="164">
        <f t="shared" si="3"/>
        <v>0</v>
      </c>
      <c r="V8" s="163">
        <f t="shared" si="4"/>
        <v>90217.324294043472</v>
      </c>
      <c r="W8" s="163">
        <f t="shared" ref="W8:W19" si="8">S8+T8+U8+V8</f>
        <v>178660.14453260117</v>
      </c>
      <c r="X8" s="165" t="e">
        <f t="shared" si="5"/>
        <v>#VALUE!</v>
      </c>
      <c r="Y8" s="166" t="e">
        <f t="shared" ref="Y8:Y20" si="9">X8*80%</f>
        <v>#VALUE!</v>
      </c>
      <c r="Z8" s="165">
        <f t="shared" ref="Z8:Z19" si="10">Q8*((1+4%)/1)^(1*1)+Q8*((1+4%)/1)^(2*1)+Q8*((1+4%)/1)^(3*1)+Q8*((1+4%)/1)^(4*1)+Q8*((1+4%)/1)^(5*1)+Q8*((1+4%)/1)^(6*1)+Q8*((1+4%)/1)^(7*1)+Q8*((1+4%)/1)^(8*1)+Q8*((1+4%)/1)^(9*1)+Q8*((1+4%)/1)^(10*1)</f>
        <v>440389.39890796121</v>
      </c>
      <c r="AA8" s="165">
        <f>R8*((1+4%)/1)^(1*1)+R8*((1+4%)/1)^(2*1)+R8*((1+4%)/1)^(3*1)+R8*((1+4%)/1)^(4*1)+R8*((1+4%)/1)^(5*1)+R8*((1+4%)/1)^(6*1)+R8*((1+4%)/1)^(7*1)+R8*((1+4%)/1)^(8*1)+R8*((1+4%)/1)^(9*1)+R8*((1+4%)/1)^(10*1)</f>
        <v>14089.050742035419</v>
      </c>
      <c r="AB8" s="165">
        <f t="shared" ref="AB8:AB19" si="11">T8*((1+3%)/1)^(1*1)+T8*((1+3%)/1)^(2*1)+T8*((1+3%)/1)^(3*1)+T8*((1+3%)/1)^(4*1)+T8*((1+3%)/1)^(5*1)+T8*((1+3%)/1)^(6*1)+T8*((1+3%)/1)^(7*1)+T8*((1+3%)/1)^(8*1)+T8*((1+3%)/1)^(9*1)+T8*((1+3%)/1)^(10*1)</f>
        <v>614534.38559516566</v>
      </c>
      <c r="AC8" s="165">
        <f t="shared" ref="AC8:AC19" si="12">U8*((1+3%)/1)^(1*1)+U8*((1+3%)/1)^(2*1)+U8*((1+3%)/1)^(3*1)+U8*((1+3%)/1)^(4*1)+U8*((1+3%)/1)^(5*1)+U8*((1+3%)/1)^(6*1)+U8*((1+3%)/1)^(7*1)+U8*((1+3%)/1)^(8*1)+U8*((1+3%)/1)^(9*1)+U8*((1+3%)/1)^(10*1)</f>
        <v>0</v>
      </c>
      <c r="AD8" s="165">
        <f t="shared" ref="AD8:AD19" si="13">V8*((1+3%)/1)^(1*1)+V8*((1+3%)/1)^(2*1)+V8*((1+3%)/1)^(3*1)+V8*((1+3%)/1)^(4*1)+V8*((1+3%)/1)^(5*1)+V8*((1+3%)/1)^(6*1)+V8*((1+3%)/1)^(7*1)+V8*((1+3%)/1)^(8*1)+V8*((1+3%)/1)^(9*1)+V8*((1+3%)/1)^(10*1)</f>
        <v>1065267.7330360524</v>
      </c>
      <c r="AE8" s="165">
        <f t="shared" si="6"/>
        <v>1066467.3084786534</v>
      </c>
      <c r="AF8" s="165">
        <f t="shared" ref="AF8:AF19" si="14">R8*((1+4%)/1)^(1*1)+R8*((1+4%)/1)^(2*1)+R8*((1+4%)/1)^(3*1)+R8*((1+4%)/1)^(4*1)+R8*((1+4%)/1)^(5*1)+R8*((1+4%)/1)^(6*1)+R8*((1+4%)/1)^(7*1)+R8*((1+4%)/1)^(8*1)+R8*((1+4%)/1)^(9*1)+R8*((1+4%)/1)^(10*1)+R8*((1+4%)/1)^(11*1)+R8*((1+4%)/1)^(12*1)+R8*((1+4%)/1)^(13*1)+R8*((1+4%)/1)^(14*1)+R8*((1+4%)/1)^(15*1)+R8*((1+4%)/1)^(16*1)+R8*((1+4%)/1)^(17*1)+R8*((1+4%)/1)^(18*1)+R8*((1+4%)/1)^(19*1)+R8*((1+4%)/1)^(20*1)</f>
        <v>34944.287582857913</v>
      </c>
      <c r="AG8" s="165">
        <f t="shared" ref="AG8:AG19" si="15">T8*((1+4%)/1)^(1*1)+T8*((1+4%)/1)^(2*1)+T8*((1+4%)/1)^(3*1)+T8*((1+4%)/1)^(4*1)+T8*((1+4%)/1)^(5*1)+T8*((1+4%)/1)^(6*1)+T8*((1+4%)/1)^(7*1)+T8*((1+4%)/1)^(8*1)+T8*((1+4%)/1)^(9*1)+T8*((1+4%)/1)^(10*1)+T8*((1+4%)/1)^(11*1)+T8*((1+4%)/1)^(12*1)+T8*((1+4%)/1)^(13*1)+T8*((1+4%)/1)^(14*1)+T8*((1+4%)/1)^(15*1)+T8*((1+4%)/1)^(16*1)+T8*((1+4%)/1)^(17*1)+T8*((1+4%)/1)^(18*1)+T8*((1+4%)/1)^(19*1)+T8*((1+4%)/1)^(20*1)</f>
        <v>1611785.9631906026</v>
      </c>
      <c r="AH8" s="165">
        <f t="shared" ref="AH8:AH19" si="16">U8*((1+4%)/1)^(1*1)+U8*((1+4%)/1)^(2*1)+U8*((1+4%)/1)^(3*1)+U8*((1+4%)/1)^(4*1)+U8*((1+4%)/1)^(5*1)+U8*((1+4%)/1)^(6*1)+U8*((1+4%)/1)^(7*1)+U8*((1+4%)/1)^(8*1)+U8*((1+4%)/1)^(9*1)+U8*((1+4%)/1)^(10*1)+U8*((1+4%)/1)^(11*1)+U8*((1+4%)/1)^(12*1)+U8*((1+4%)/1)^(13*1)+U8*((1+4%)/1)^(14*1)+U8*((1+4%)/1)^(15*1)+U8*((1+4%)/1)^(16*1)+U8*((1+4%)/1)^(17*1)+U8*((1+4%)/1)^(18*1)+U8*((1+4%)/1)^(19*1)+U8*((1+4%)/1)^(20*1)</f>
        <v>0</v>
      </c>
      <c r="AI8" s="165">
        <f t="shared" ref="AI8:AI19" si="17">V8*((1+4%)/1)^(1*1)+V8*((1+4%)/1)^(2*1)+V8*((1+4%)/1)^(3*1)+V8*((1+4%)/1)^(4*1)+V8*((1+4%)/1)^(5*1)+V8*((1+4%)/1)^(6*1)+V8*((1+4%)/1)^(7*1)+V8*((1+4%)/1)^(8*1)+V8*((1+4%)/1)^(9*1)+V8*((1+4%)/1)^(10*1)+V8*((1+4%)/1)^(11*1)+V8*((1+4%)/1)^(12*1)+V8*((1+4%)/1)^(13*1)+V8*((1+4%)/1)^(14*1)+V8*((1+4%)/1)^(15*1)+V8*((1+4%)/1)^(16*1)+V8*((1+4%)/1)^(17*1)+V8*((1+4%)/1)^(18*1)+V8*((1+4%)/1)^(19*1)+V8*((1+4%)/1)^(20*1)</f>
        <v>2793958.5145988455</v>
      </c>
      <c r="AJ8" s="165">
        <f>IF('Expenses by Building'!$O$4=B8,'Expenses by Building'!$O$30,0)</f>
        <v>0</v>
      </c>
      <c r="AK8" s="163">
        <f t="shared" ref="AK8:AK19" si="18">Z8+AA8+AB8+AC8+AD8+AJ8</f>
        <v>2134280.5682812147</v>
      </c>
      <c r="AL8" s="163">
        <f t="shared" ref="AL8:AL19" si="19">AE8+AF8+AG8+AH8+AI8+AJ8</f>
        <v>5507156.0738509595</v>
      </c>
    </row>
    <row r="9" spans="2:38" ht="15.75">
      <c r="B9" s="226" t="s">
        <v>61</v>
      </c>
      <c r="C9" s="290" t="s">
        <v>218</v>
      </c>
      <c r="D9" s="226">
        <v>1991</v>
      </c>
      <c r="E9" s="226">
        <v>2000</v>
      </c>
      <c r="F9" s="228">
        <v>6102</v>
      </c>
      <c r="G9" s="228">
        <v>5313</v>
      </c>
      <c r="H9" s="229">
        <v>0.76319999999999999</v>
      </c>
      <c r="I9" s="230">
        <v>41</v>
      </c>
      <c r="J9" s="230">
        <v>435</v>
      </c>
      <c r="K9" s="231"/>
      <c r="L9" s="231" t="s">
        <v>59</v>
      </c>
      <c r="M9" s="232">
        <f>'FUSION Assessment'!$F$6</f>
        <v>2864095.74</v>
      </c>
      <c r="N9" s="224" t="str">
        <f>IFERROR(VLOOKUP($AK$3,'Summary Data'!#REF!,4,0),"")</f>
        <v/>
      </c>
      <c r="O9" s="218" t="e">
        <f t="shared" ref="O9:O14" si="20">N9*35%</f>
        <v>#VALUE!</v>
      </c>
      <c r="P9" s="233">
        <v>35</v>
      </c>
      <c r="Q9" s="163">
        <f t="shared" si="0"/>
        <v>9566.8332163653959</v>
      </c>
      <c r="R9" s="163">
        <f t="shared" si="1"/>
        <v>306.06458502451784</v>
      </c>
      <c r="S9" s="163">
        <f t="shared" si="7"/>
        <v>9872.8978013899141</v>
      </c>
      <c r="T9" s="163">
        <f t="shared" si="2"/>
        <v>14117.059928681172</v>
      </c>
      <c r="U9" s="164">
        <f t="shared" si="3"/>
        <v>0</v>
      </c>
      <c r="V9" s="163">
        <f t="shared" si="4"/>
        <v>24471.288799886792</v>
      </c>
      <c r="W9" s="163">
        <f t="shared" si="8"/>
        <v>48461.246529957876</v>
      </c>
      <c r="X9" s="165" t="e">
        <f t="shared" si="5"/>
        <v>#VALUE!</v>
      </c>
      <c r="Y9" s="166" t="e">
        <f t="shared" ref="Y9:Y14" si="21">X9*35%</f>
        <v>#VALUE!</v>
      </c>
      <c r="Z9" s="165">
        <f t="shared" si="10"/>
        <v>119454.84140008799</v>
      </c>
      <c r="AA9" s="165">
        <f t="shared" ref="AA9:AA19" si="22">R9*((1+4%)/1)^(1*1)+R9*((1+4%)/1)^(2*1)+R9*((1+4%)/1)^(3*1)+R9*((1+4%)/1)^(4*1)+R9*((1+4%)/1)^(5*1)+R9*((1+4%)/1)^(6*1)+R9*((1+4%)/1)^(7*1)+R9*((1+4%)/1)^(8*1)+R9*((1+4%)/1)^(9*1)+R9*((1+4%)/1)^(10*1)</f>
        <v>3821.629962122161</v>
      </c>
      <c r="AB9" s="165">
        <f t="shared" si="11"/>
        <v>166691.35939285657</v>
      </c>
      <c r="AC9" s="165">
        <f t="shared" si="12"/>
        <v>0</v>
      </c>
      <c r="AD9" s="165">
        <f t="shared" si="13"/>
        <v>288951.97843998903</v>
      </c>
      <c r="AE9" s="165">
        <f t="shared" si="6"/>
        <v>289277.36114583677</v>
      </c>
      <c r="AF9" s="165">
        <f t="shared" si="14"/>
        <v>9478.5758726262011</v>
      </c>
      <c r="AG9" s="165">
        <f t="shared" si="15"/>
        <v>437194.07660868845</v>
      </c>
      <c r="AH9" s="165">
        <f t="shared" si="16"/>
        <v>0</v>
      </c>
      <c r="AI9" s="165">
        <f t="shared" si="17"/>
        <v>757856.2791643918</v>
      </c>
      <c r="AJ9" s="165">
        <f>IF('Expenses by Building'!$O$4=B9,'Expenses by Building'!$O$30,0)</f>
        <v>0</v>
      </c>
      <c r="AK9" s="163">
        <f t="shared" si="18"/>
        <v>578919.80919505574</v>
      </c>
      <c r="AL9" s="163">
        <f t="shared" si="19"/>
        <v>1493806.2927915433</v>
      </c>
    </row>
    <row r="10" spans="2:38" ht="15.75">
      <c r="B10" s="226" t="s">
        <v>62</v>
      </c>
      <c r="C10" s="290" t="s">
        <v>219</v>
      </c>
      <c r="D10" s="226">
        <v>1991</v>
      </c>
      <c r="E10" s="226"/>
      <c r="F10" s="228">
        <v>42508</v>
      </c>
      <c r="G10" s="228">
        <v>30091</v>
      </c>
      <c r="H10" s="229">
        <v>0.69469999999999998</v>
      </c>
      <c r="I10" s="230">
        <v>98</v>
      </c>
      <c r="J10" s="234">
        <v>1605</v>
      </c>
      <c r="K10" s="231"/>
      <c r="L10" s="231" t="s">
        <v>59</v>
      </c>
      <c r="M10" s="232">
        <f>'FUSION Assessment'!$F$7</f>
        <v>20503733.800000001</v>
      </c>
      <c r="N10" s="224" t="str">
        <f>IFERROR(VLOOKUP($AK$3,'Summary Data'!#REF!,5,0),"")</f>
        <v/>
      </c>
      <c r="O10" s="218" t="e">
        <f t="shared" si="20"/>
        <v>#VALUE!</v>
      </c>
      <c r="P10" s="233">
        <v>35</v>
      </c>
      <c r="Q10" s="163">
        <f t="shared" si="0"/>
        <v>66644.861743897127</v>
      </c>
      <c r="R10" s="163">
        <f t="shared" si="1"/>
        <v>2132.1195313376274</v>
      </c>
      <c r="S10" s="163">
        <f t="shared" si="7"/>
        <v>68776.98127523475</v>
      </c>
      <c r="T10" s="163">
        <f t="shared" si="2"/>
        <v>98342.835701143762</v>
      </c>
      <c r="U10" s="164">
        <f t="shared" si="3"/>
        <v>0</v>
      </c>
      <c r="V10" s="163">
        <f t="shared" si="4"/>
        <v>170472.88500583216</v>
      </c>
      <c r="W10" s="163">
        <f t="shared" si="8"/>
        <v>337592.70198221062</v>
      </c>
      <c r="X10" s="275" t="e">
        <f t="shared" si="5"/>
        <v>#VALUE!</v>
      </c>
      <c r="Y10" s="276" t="e">
        <f t="shared" si="21"/>
        <v>#VALUE!</v>
      </c>
      <c r="Z10" s="275">
        <f t="shared" si="10"/>
        <v>832151.16326367424</v>
      </c>
      <c r="AA10" s="275">
        <f t="shared" si="22"/>
        <v>26622.393711879518</v>
      </c>
      <c r="AB10" s="275">
        <f t="shared" si="11"/>
        <v>1161212.1116144783</v>
      </c>
      <c r="AC10" s="275">
        <f t="shared" si="12"/>
        <v>0</v>
      </c>
      <c r="AD10" s="275">
        <f t="shared" si="13"/>
        <v>2012908.9969726405</v>
      </c>
      <c r="AE10" s="275">
        <f t="shared" si="6"/>
        <v>2015175.6911811256</v>
      </c>
      <c r="AF10" s="275">
        <f t="shared" si="14"/>
        <v>66030.039854735252</v>
      </c>
      <c r="AG10" s="275">
        <f t="shared" si="15"/>
        <v>3045599.116434305</v>
      </c>
      <c r="AH10" s="275">
        <f t="shared" si="16"/>
        <v>0</v>
      </c>
      <c r="AI10" s="275">
        <f t="shared" si="17"/>
        <v>5279409.1633431613</v>
      </c>
      <c r="AJ10" s="165">
        <f>IF('Expenses by Building'!$O$4=B10,'Expenses by Building'!$O$30,0)</f>
        <v>0</v>
      </c>
      <c r="AK10" s="163">
        <f t="shared" si="18"/>
        <v>4032894.6655626725</v>
      </c>
      <c r="AL10" s="163">
        <f t="shared" si="19"/>
        <v>10406214.010813328</v>
      </c>
    </row>
    <row r="11" spans="2:38" ht="15.75">
      <c r="B11" s="226" t="s">
        <v>31</v>
      </c>
      <c r="C11" s="290" t="s">
        <v>220</v>
      </c>
      <c r="D11" s="226">
        <v>2004</v>
      </c>
      <c r="E11" s="226"/>
      <c r="F11" s="228">
        <v>37034</v>
      </c>
      <c r="G11" s="228">
        <v>23333</v>
      </c>
      <c r="H11" s="229">
        <v>0.84340000000000004</v>
      </c>
      <c r="I11" s="230">
        <v>13</v>
      </c>
      <c r="J11" s="230">
        <v>70</v>
      </c>
      <c r="K11" s="231"/>
      <c r="L11" s="231" t="s">
        <v>59</v>
      </c>
      <c r="M11" s="232">
        <v>3128769</v>
      </c>
      <c r="N11" s="224" t="str">
        <f>IFERROR(VLOOKUP($AK$3,'Summary Data'!#REF!,6,0),"")</f>
        <v/>
      </c>
      <c r="O11" s="218" t="e">
        <f t="shared" si="20"/>
        <v>#VALUE!</v>
      </c>
      <c r="P11" s="233">
        <v>35</v>
      </c>
      <c r="Q11" s="163">
        <f t="shared" si="0"/>
        <v>58062.619032264185</v>
      </c>
      <c r="R11" s="163">
        <f t="shared" si="1"/>
        <v>1857.5542185837419</v>
      </c>
      <c r="S11" s="163">
        <f t="shared" si="7"/>
        <v>59920.173250847925</v>
      </c>
      <c r="T11" s="163">
        <f t="shared" si="2"/>
        <v>85678.662307240011</v>
      </c>
      <c r="U11" s="164">
        <f t="shared" si="3"/>
        <v>0</v>
      </c>
      <c r="V11" s="163">
        <f t="shared" si="4"/>
        <v>148520.10970419657</v>
      </c>
      <c r="W11" s="163">
        <f t="shared" si="8"/>
        <v>294118.94526228448</v>
      </c>
      <c r="X11" s="165" t="e">
        <f t="shared" si="5"/>
        <v>#VALUE!</v>
      </c>
      <c r="Y11" s="166" t="e">
        <f t="shared" si="21"/>
        <v>#VALUE!</v>
      </c>
      <c r="Z11" s="165">
        <f t="shared" si="10"/>
        <v>724990.26489853451</v>
      </c>
      <c r="AA11" s="165">
        <f t="shared" si="22"/>
        <v>23194.074732420864</v>
      </c>
      <c r="AB11" s="165">
        <f t="shared" si="11"/>
        <v>1011676.1395862096</v>
      </c>
      <c r="AC11" s="165">
        <f t="shared" si="12"/>
        <v>0</v>
      </c>
      <c r="AD11" s="165">
        <f t="shared" si="13"/>
        <v>1753695.1113645611</v>
      </c>
      <c r="AE11" s="165">
        <f t="shared" si="6"/>
        <v>1755669.910303985</v>
      </c>
      <c r="AF11" s="165">
        <f t="shared" si="14"/>
        <v>57526.971299055833</v>
      </c>
      <c r="AG11" s="165">
        <f t="shared" si="15"/>
        <v>2653399.7759957672</v>
      </c>
      <c r="AH11" s="165">
        <f t="shared" si="16"/>
        <v>0</v>
      </c>
      <c r="AI11" s="165">
        <f t="shared" si="17"/>
        <v>4599549.2367378054</v>
      </c>
      <c r="AJ11" s="165">
        <f>IF('Expenses by Building'!$O$4=B11,'Expenses by Building'!$O$30,0)</f>
        <v>0</v>
      </c>
      <c r="AK11" s="163">
        <f t="shared" si="18"/>
        <v>3513555.5905817263</v>
      </c>
      <c r="AL11" s="163">
        <f t="shared" si="19"/>
        <v>9066145.8943366148</v>
      </c>
    </row>
    <row r="12" spans="2:38" ht="15.75">
      <c r="B12" s="226" t="s">
        <v>63</v>
      </c>
      <c r="C12" s="290" t="s">
        <v>221</v>
      </c>
      <c r="D12" s="226">
        <v>2013</v>
      </c>
      <c r="E12" s="226"/>
      <c r="F12" s="228">
        <v>50440</v>
      </c>
      <c r="G12" s="228">
        <v>42816</v>
      </c>
      <c r="H12" s="229">
        <v>0.73629999999999995</v>
      </c>
      <c r="I12" s="230">
        <v>37</v>
      </c>
      <c r="J12" s="230">
        <v>139</v>
      </c>
      <c r="K12" s="231"/>
      <c r="L12" s="231" t="s">
        <v>59</v>
      </c>
      <c r="M12" s="232">
        <f>'FUSION Assessment'!$F$9</f>
        <v>31205210.399999999</v>
      </c>
      <c r="N12" s="224" t="str">
        <f>IFERROR(VLOOKUP($AK$3,'Summary Data'!#REF!,7,0),"")</f>
        <v/>
      </c>
      <c r="O12" s="218" t="e">
        <f t="shared" si="20"/>
        <v>#VALUE!</v>
      </c>
      <c r="P12" s="233">
        <v>35</v>
      </c>
      <c r="Q12" s="163">
        <f t="shared" si="0"/>
        <v>79080.804233607108</v>
      </c>
      <c r="R12" s="163">
        <f t="shared" si="1"/>
        <v>2529.9733970233824</v>
      </c>
      <c r="S12" s="163">
        <f t="shared" si="7"/>
        <v>81610.777630630488</v>
      </c>
      <c r="T12" s="163">
        <f t="shared" si="2"/>
        <v>116693.62550027504</v>
      </c>
      <c r="U12" s="164">
        <f t="shared" si="3"/>
        <v>0</v>
      </c>
      <c r="V12" s="163">
        <f t="shared" si="4"/>
        <v>202283.15422259748</v>
      </c>
      <c r="W12" s="163">
        <f t="shared" si="8"/>
        <v>400587.55735350301</v>
      </c>
      <c r="X12" s="165" t="e">
        <f t="shared" si="5"/>
        <v>#VALUE!</v>
      </c>
      <c r="Y12" s="166" t="e">
        <f t="shared" si="21"/>
        <v>#VALUE!</v>
      </c>
      <c r="Z12" s="165">
        <f t="shared" si="10"/>
        <v>987430.71127834124</v>
      </c>
      <c r="AA12" s="165">
        <f t="shared" si="22"/>
        <v>31590.136887814133</v>
      </c>
      <c r="AB12" s="165">
        <f t="shared" si="11"/>
        <v>1377894.4883277095</v>
      </c>
      <c r="AC12" s="165">
        <f t="shared" si="12"/>
        <v>0</v>
      </c>
      <c r="AD12" s="165">
        <f t="shared" si="13"/>
        <v>2388518.1567540225</v>
      </c>
      <c r="AE12" s="165">
        <f t="shared" si="6"/>
        <v>2391207.8164857435</v>
      </c>
      <c r="AF12" s="165">
        <f t="shared" si="14"/>
        <v>78351.256475789167</v>
      </c>
      <c r="AG12" s="165">
        <f t="shared" si="15"/>
        <v>3613908.4274241636</v>
      </c>
      <c r="AH12" s="165">
        <f t="shared" si="16"/>
        <v>0</v>
      </c>
      <c r="AI12" s="165">
        <f t="shared" si="17"/>
        <v>6264547.8074486926</v>
      </c>
      <c r="AJ12" s="165">
        <f>IF('Expenses by Building'!$O$4=B12,'Expenses by Building'!$O$30,0)</f>
        <v>0</v>
      </c>
      <c r="AK12" s="163">
        <f t="shared" si="18"/>
        <v>4785433.4932478871</v>
      </c>
      <c r="AL12" s="163">
        <f t="shared" si="19"/>
        <v>12348015.307834389</v>
      </c>
    </row>
    <row r="13" spans="2:38" ht="15.75">
      <c r="B13" s="226" t="s">
        <v>65</v>
      </c>
      <c r="C13" s="290" t="s">
        <v>222</v>
      </c>
      <c r="D13" s="226">
        <v>2014</v>
      </c>
      <c r="E13" s="226"/>
      <c r="F13" s="228">
        <v>97521</v>
      </c>
      <c r="G13" s="228">
        <v>55022</v>
      </c>
      <c r="H13" s="229">
        <v>0.88090000000000002</v>
      </c>
      <c r="I13" s="230">
        <v>30</v>
      </c>
      <c r="J13" s="234">
        <v>2283</v>
      </c>
      <c r="K13" s="231" t="s">
        <v>64</v>
      </c>
      <c r="L13" s="231" t="s">
        <v>59</v>
      </c>
      <c r="M13" s="232">
        <f>'FUSION Assessment'!$F$10</f>
        <v>45358967.520000003</v>
      </c>
      <c r="N13" s="224" t="str">
        <f>IFERROR(VLOOKUP($AK$3,'Summary Data'!#REF!,8,0),"")</f>
        <v/>
      </c>
      <c r="O13" s="218" t="e">
        <f t="shared" si="20"/>
        <v>#VALUE!</v>
      </c>
      <c r="P13" s="233">
        <v>35</v>
      </c>
      <c r="Q13" s="163">
        <f t="shared" si="0"/>
        <v>152895.3035223156</v>
      </c>
      <c r="R13" s="163">
        <f t="shared" si="1"/>
        <v>4891.4658138603745</v>
      </c>
      <c r="S13" s="163">
        <f t="shared" si="7"/>
        <v>157786.76933617599</v>
      </c>
      <c r="T13" s="163">
        <f t="shared" si="2"/>
        <v>225616.15885036325</v>
      </c>
      <c r="U13" s="164">
        <f t="shared" si="3"/>
        <v>0</v>
      </c>
      <c r="V13" s="163">
        <f t="shared" si="4"/>
        <v>391095.46952700097</v>
      </c>
      <c r="W13" s="163">
        <f t="shared" si="8"/>
        <v>774498.39771354012</v>
      </c>
      <c r="X13" s="165" t="e">
        <f t="shared" si="5"/>
        <v>#VALUE!</v>
      </c>
      <c r="Y13" s="166" t="e">
        <f t="shared" si="21"/>
        <v>#VALUE!</v>
      </c>
      <c r="Z13" s="165">
        <f t="shared" si="10"/>
        <v>1909104.4883936381</v>
      </c>
      <c r="AA13" s="165">
        <f t="shared" si="22"/>
        <v>61076.561051477431</v>
      </c>
      <c r="AB13" s="165">
        <f t="shared" si="11"/>
        <v>2664029.508251518</v>
      </c>
      <c r="AC13" s="165">
        <f t="shared" si="12"/>
        <v>0</v>
      </c>
      <c r="AD13" s="165">
        <f t="shared" si="13"/>
        <v>4617975.3997781333</v>
      </c>
      <c r="AE13" s="165">
        <f t="shared" si="6"/>
        <v>4623175.6041139215</v>
      </c>
      <c r="AF13" s="165">
        <f t="shared" si="14"/>
        <v>151484.79149039325</v>
      </c>
      <c r="AG13" s="165">
        <f t="shared" si="15"/>
        <v>6987152.3344732728</v>
      </c>
      <c r="AH13" s="165">
        <f t="shared" si="16"/>
        <v>0</v>
      </c>
      <c r="AI13" s="165">
        <f t="shared" si="17"/>
        <v>12111914.487117447</v>
      </c>
      <c r="AJ13" s="165">
        <f>IF('Expenses by Building'!$O$4=B13,'Expenses by Building'!$O$30,0)</f>
        <v>0</v>
      </c>
      <c r="AK13" s="163">
        <f t="shared" si="18"/>
        <v>9252185.9574747663</v>
      </c>
      <c r="AL13" s="163">
        <f t="shared" si="19"/>
        <v>23873727.217195034</v>
      </c>
    </row>
    <row r="14" spans="2:38" ht="15.75">
      <c r="B14" s="226" t="s">
        <v>67</v>
      </c>
      <c r="C14" s="290" t="s">
        <v>223</v>
      </c>
      <c r="D14" s="226">
        <v>2006</v>
      </c>
      <c r="E14" s="226"/>
      <c r="F14" s="228">
        <v>39900</v>
      </c>
      <c r="G14" s="228">
        <v>35723</v>
      </c>
      <c r="H14" s="229">
        <v>0.73519999999999996</v>
      </c>
      <c r="I14" s="230">
        <v>34</v>
      </c>
      <c r="J14" s="230">
        <v>380</v>
      </c>
      <c r="K14" s="231" t="s">
        <v>66</v>
      </c>
      <c r="L14" s="231" t="s">
        <v>59</v>
      </c>
      <c r="M14" s="232">
        <f>'FUSION Assessment'!F11</f>
        <v>21836073</v>
      </c>
      <c r="N14" s="224" t="str">
        <f>IFERROR(VLOOKUP($AK$3,'Summary Data'!#REF!,9,0),"")</f>
        <v/>
      </c>
      <c r="O14" s="218" t="e">
        <f t="shared" si="20"/>
        <v>#VALUE!</v>
      </c>
      <c r="P14" s="233">
        <v>35</v>
      </c>
      <c r="Q14" s="163">
        <f t="shared" si="0"/>
        <v>62555.98907456232</v>
      </c>
      <c r="R14" s="163">
        <f t="shared" si="1"/>
        <v>2001.307266876149</v>
      </c>
      <c r="S14" s="163">
        <f t="shared" si="7"/>
        <v>64557.296341438472</v>
      </c>
      <c r="T14" s="163">
        <f t="shared" si="2"/>
        <v>92309.192257354764</v>
      </c>
      <c r="U14" s="164">
        <f t="shared" si="3"/>
        <v>0</v>
      </c>
      <c r="V14" s="163">
        <f t="shared" si="4"/>
        <v>160013.8353188271</v>
      </c>
      <c r="W14" s="163">
        <f t="shared" si="8"/>
        <v>316880.32391762035</v>
      </c>
      <c r="X14" s="165" t="e">
        <f t="shared" si="5"/>
        <v>#VALUE!</v>
      </c>
      <c r="Y14" s="166" t="e">
        <f t="shared" si="21"/>
        <v>#VALUE!</v>
      </c>
      <c r="Z14" s="165">
        <f t="shared" si="10"/>
        <v>781096.0622522959</v>
      </c>
      <c r="AA14" s="165">
        <f t="shared" si="22"/>
        <v>24989.025809353363</v>
      </c>
      <c r="AB14" s="165">
        <f t="shared" si="11"/>
        <v>1089968.0825589933</v>
      </c>
      <c r="AC14" s="165">
        <f t="shared" si="12"/>
        <v>0</v>
      </c>
      <c r="AD14" s="165">
        <f t="shared" si="13"/>
        <v>1889410.6751484037</v>
      </c>
      <c r="AE14" s="165">
        <f t="shared" si="6"/>
        <v>1891538.300511125</v>
      </c>
      <c r="AF14" s="165">
        <f t="shared" si="14"/>
        <v>61978.888449325692</v>
      </c>
      <c r="AG14" s="165">
        <f t="shared" si="15"/>
        <v>2858741.9955238728</v>
      </c>
      <c r="AH14" s="165">
        <f t="shared" si="16"/>
        <v>0</v>
      </c>
      <c r="AI14" s="165">
        <f t="shared" si="17"/>
        <v>4955500.7437986284</v>
      </c>
      <c r="AJ14" s="165">
        <f>IF('Expenses by Building'!$O$4=B14,'Expenses by Building'!$O$30,0)</f>
        <v>0</v>
      </c>
      <c r="AK14" s="163">
        <f t="shared" si="18"/>
        <v>3785463.8457690463</v>
      </c>
      <c r="AL14" s="163">
        <f t="shared" si="19"/>
        <v>9767759.9282829519</v>
      </c>
    </row>
    <row r="15" spans="2:38">
      <c r="B15" s="226" t="s">
        <v>224</v>
      </c>
      <c r="C15" s="290" t="s">
        <v>225</v>
      </c>
      <c r="D15" s="226">
        <v>2014</v>
      </c>
      <c r="E15" s="226"/>
      <c r="F15" s="228">
        <v>15583</v>
      </c>
      <c r="G15" s="228">
        <v>14094</v>
      </c>
      <c r="H15" s="229">
        <v>0.84230000000000005</v>
      </c>
      <c r="I15" s="230">
        <v>18</v>
      </c>
      <c r="J15" s="230">
        <v>653</v>
      </c>
      <c r="K15" s="231"/>
      <c r="L15" s="231" t="s">
        <v>59</v>
      </c>
      <c r="M15" s="232">
        <f>'FUSION Assessment'!F12</f>
        <v>7332113.1600000001</v>
      </c>
      <c r="N15" s="224" t="str">
        <f>IFERROR(VLOOKUP($AK$3,'Summary Data'!#REF!,10,0),"")</f>
        <v/>
      </c>
      <c r="O15" s="218" t="e">
        <f>N15*80%</f>
        <v>#VALUE!</v>
      </c>
      <c r="P15" s="226">
        <v>80</v>
      </c>
      <c r="Q15" s="163">
        <f t="shared" si="0"/>
        <v>24431.327763130445</v>
      </c>
      <c r="R15" s="163">
        <f t="shared" si="1"/>
        <v>781.61331177270756</v>
      </c>
      <c r="S15" s="163">
        <f t="shared" si="7"/>
        <v>25212.941074903152</v>
      </c>
      <c r="T15" s="163">
        <f t="shared" si="2"/>
        <v>36051.482279357377</v>
      </c>
      <c r="U15" s="164">
        <f t="shared" si="3"/>
        <v>0</v>
      </c>
      <c r="V15" s="163">
        <f t="shared" si="4"/>
        <v>62493.623954217612</v>
      </c>
      <c r="W15" s="163">
        <f t="shared" si="8"/>
        <v>123758.04730847814</v>
      </c>
      <c r="X15" s="165" t="e">
        <f t="shared" si="5"/>
        <v>#VALUE!</v>
      </c>
      <c r="Y15" s="166" t="e">
        <f t="shared" si="9"/>
        <v>#VALUE!</v>
      </c>
      <c r="Z15" s="165">
        <f t="shared" si="10"/>
        <v>305058.14381146693</v>
      </c>
      <c r="AA15" s="165">
        <f t="shared" si="22"/>
        <v>9759.4984758685096</v>
      </c>
      <c r="AB15" s="165">
        <f t="shared" si="11"/>
        <v>425688.53710568399</v>
      </c>
      <c r="AC15" s="165">
        <f t="shared" si="12"/>
        <v>0</v>
      </c>
      <c r="AD15" s="165">
        <f t="shared" si="13"/>
        <v>737911.94363001455</v>
      </c>
      <c r="AE15" s="165">
        <f t="shared" si="6"/>
        <v>738742.8906482422</v>
      </c>
      <c r="AF15" s="165">
        <f t="shared" si="14"/>
        <v>24205.940318442168</v>
      </c>
      <c r="AG15" s="165">
        <f t="shared" si="15"/>
        <v>1116485.6269736469</v>
      </c>
      <c r="AH15" s="165">
        <f t="shared" si="16"/>
        <v>0</v>
      </c>
      <c r="AI15" s="165">
        <f t="shared" si="17"/>
        <v>1935377.6463813039</v>
      </c>
      <c r="AJ15" s="165">
        <f>IF('Expenses by Building'!$O$4=B15,'Expenses by Building'!$O$30,0)</f>
        <v>0</v>
      </c>
      <c r="AK15" s="163">
        <f t="shared" si="18"/>
        <v>1478418.1230230341</v>
      </c>
      <c r="AL15" s="163">
        <f t="shared" si="19"/>
        <v>3814812.1043216353</v>
      </c>
    </row>
    <row r="16" spans="2:38" ht="15.75">
      <c r="B16" s="226" t="s">
        <v>69</v>
      </c>
      <c r="C16" s="291" t="s">
        <v>226</v>
      </c>
      <c r="D16" s="226">
        <v>2020</v>
      </c>
      <c r="E16" s="226"/>
      <c r="F16" s="228">
        <v>3360</v>
      </c>
      <c r="G16" s="228">
        <v>2957</v>
      </c>
      <c r="H16" s="229">
        <v>0.88039999999999996</v>
      </c>
      <c r="I16" s="230">
        <v>22</v>
      </c>
      <c r="J16" s="230">
        <v>185</v>
      </c>
      <c r="K16" s="231"/>
      <c r="L16" s="231" t="s">
        <v>59</v>
      </c>
      <c r="M16" s="232">
        <f>'FUSION Assessment'!F13</f>
        <v>1583329.71</v>
      </c>
      <c r="N16" s="224" t="str">
        <f>IFERROR(VLOOKUP($AK$3,'Summary Data'!#REF!,11,0),"")</f>
        <v/>
      </c>
      <c r="O16" s="218" t="e">
        <f>N16*35%</f>
        <v>#VALUE!</v>
      </c>
      <c r="P16" s="233">
        <v>35</v>
      </c>
      <c r="Q16" s="163">
        <f t="shared" si="0"/>
        <v>5267.8727641736696</v>
      </c>
      <c r="R16" s="163">
        <f t="shared" si="1"/>
        <v>168.53113826325466</v>
      </c>
      <c r="S16" s="163">
        <f t="shared" si="7"/>
        <v>5436.403902436924</v>
      </c>
      <c r="T16" s="163">
        <f t="shared" si="2"/>
        <v>7773.4056637772428</v>
      </c>
      <c r="U16" s="164">
        <f t="shared" si="3"/>
        <v>0</v>
      </c>
      <c r="V16" s="163">
        <f t="shared" si="4"/>
        <v>13474.849290006494</v>
      </c>
      <c r="W16" s="163">
        <f t="shared" si="8"/>
        <v>26684.65885622066</v>
      </c>
      <c r="X16" s="165" t="e">
        <f t="shared" si="5"/>
        <v>#VALUE!</v>
      </c>
      <c r="Y16" s="166" t="e">
        <f t="shared" si="9"/>
        <v>#VALUE!</v>
      </c>
      <c r="Z16" s="165">
        <f t="shared" si="10"/>
        <v>65776.510505456521</v>
      </c>
      <c r="AA16" s="165">
        <f t="shared" si="22"/>
        <v>2104.3390155244938</v>
      </c>
      <c r="AB16" s="165">
        <f t="shared" si="11"/>
        <v>91786.785899704686</v>
      </c>
      <c r="AC16" s="165">
        <f t="shared" si="12"/>
        <v>0</v>
      </c>
      <c r="AD16" s="165">
        <f t="shared" si="13"/>
        <v>159108.26738091826</v>
      </c>
      <c r="AE16" s="165">
        <f t="shared" si="6"/>
        <v>159287.43583251582</v>
      </c>
      <c r="AF16" s="165">
        <f t="shared" si="14"/>
        <v>5219.2748167853224</v>
      </c>
      <c r="AG16" s="165">
        <f t="shared" si="15"/>
        <v>240736.16804411556</v>
      </c>
      <c r="AH16" s="165">
        <f t="shared" si="16"/>
        <v>0</v>
      </c>
      <c r="AI16" s="165">
        <f t="shared" si="17"/>
        <v>417305.3257935688</v>
      </c>
      <c r="AJ16" s="165">
        <f>IF('Expenses by Building'!$O$4=B16,'Expenses by Building'!$O$30,0)</f>
        <v>0</v>
      </c>
      <c r="AK16" s="163">
        <f t="shared" si="18"/>
        <v>318775.90280160395</v>
      </c>
      <c r="AL16" s="163">
        <f t="shared" si="19"/>
        <v>822548.20448698546</v>
      </c>
    </row>
    <row r="17" spans="2:38" ht="15.75">
      <c r="B17" s="233" t="s">
        <v>70</v>
      </c>
      <c r="C17" s="290" t="s">
        <v>227</v>
      </c>
      <c r="D17" s="226">
        <v>2010</v>
      </c>
      <c r="E17" s="226"/>
      <c r="F17" s="228">
        <v>57372</v>
      </c>
      <c r="G17" s="228">
        <v>39922</v>
      </c>
      <c r="H17" s="229">
        <v>0.60640000000000005</v>
      </c>
      <c r="I17" s="226">
        <v>108</v>
      </c>
      <c r="J17" s="226">
        <v>794</v>
      </c>
      <c r="K17" s="227"/>
      <c r="L17" s="227" t="s">
        <v>59</v>
      </c>
      <c r="M17" s="236">
        <f>'FUSION Assessment'!$F$14</f>
        <v>30139232.760000002</v>
      </c>
      <c r="N17" s="224" t="str">
        <f>IFERROR(VLOOKUP($AK$3,'Summary Data'!#REF!,12,0),"")</f>
        <v/>
      </c>
      <c r="O17" s="218" t="e">
        <f>N17*80%</f>
        <v>#VALUE!</v>
      </c>
      <c r="P17" s="226">
        <v>80</v>
      </c>
      <c r="Q17" s="163">
        <f t="shared" si="0"/>
        <v>89948.9274482654</v>
      </c>
      <c r="R17" s="163">
        <f t="shared" si="1"/>
        <v>2877.6691858450731</v>
      </c>
      <c r="S17" s="163">
        <f t="shared" si="7"/>
        <v>92826.596634110479</v>
      </c>
      <c r="T17" s="163">
        <f t="shared" si="2"/>
        <v>132730.90170899642</v>
      </c>
      <c r="U17" s="164">
        <f t="shared" si="3"/>
        <v>0</v>
      </c>
      <c r="V17" s="163">
        <f t="shared" si="4"/>
        <v>230083.05162686086</v>
      </c>
      <c r="W17" s="163">
        <f t="shared" si="8"/>
        <v>455640.54996996775</v>
      </c>
      <c r="X17" s="165" t="e">
        <f t="shared" si="5"/>
        <v>#VALUE!</v>
      </c>
      <c r="Y17" s="166" t="e">
        <f t="shared" si="9"/>
        <v>#VALUE!</v>
      </c>
      <c r="Z17" s="165">
        <f t="shared" si="10"/>
        <v>1123133.91688067</v>
      </c>
      <c r="AA17" s="165">
        <f t="shared" si="22"/>
        <v>35931.588690080731</v>
      </c>
      <c r="AB17" s="165">
        <f t="shared" si="11"/>
        <v>1567259.3692374576</v>
      </c>
      <c r="AC17" s="165">
        <f t="shared" si="12"/>
        <v>0</v>
      </c>
      <c r="AD17" s="165">
        <f t="shared" si="13"/>
        <v>2716773.6655291789</v>
      </c>
      <c r="AE17" s="165">
        <f t="shared" si="6"/>
        <v>2719832.966840208</v>
      </c>
      <c r="AF17" s="165">
        <f t="shared" si="14"/>
        <v>89119.117496609353</v>
      </c>
      <c r="AG17" s="165">
        <f t="shared" si="15"/>
        <v>4110570.0693532731</v>
      </c>
      <c r="AH17" s="165">
        <f t="shared" si="16"/>
        <v>0</v>
      </c>
      <c r="AI17" s="165">
        <f t="shared" si="17"/>
        <v>7125488.4379251869</v>
      </c>
      <c r="AJ17" s="165">
        <f>IF('Expenses by Building'!$O$4=B17,'Expenses by Building'!$O$30,0)</f>
        <v>0</v>
      </c>
      <c r="AK17" s="163">
        <f t="shared" si="18"/>
        <v>5443098.5403373875</v>
      </c>
      <c r="AL17" s="163">
        <f t="shared" si="19"/>
        <v>14045010.591615278</v>
      </c>
    </row>
    <row r="18" spans="2:38" ht="15.75">
      <c r="B18" s="226" t="s">
        <v>71</v>
      </c>
      <c r="C18" s="290" t="s">
        <v>228</v>
      </c>
      <c r="D18" s="226">
        <v>1980</v>
      </c>
      <c r="E18" s="226"/>
      <c r="F18" s="218">
        <v>4035</v>
      </c>
      <c r="G18" s="218">
        <v>3740</v>
      </c>
      <c r="H18" s="229">
        <v>0.87139999999999995</v>
      </c>
      <c r="I18" s="230">
        <v>19</v>
      </c>
      <c r="J18" s="230">
        <v>102</v>
      </c>
      <c r="K18" s="231"/>
      <c r="L18" s="231" t="s">
        <v>59</v>
      </c>
      <c r="M18" s="232">
        <f>'FUSION Assessment'!F15</f>
        <v>1309841.7</v>
      </c>
      <c r="N18" s="224" t="str">
        <f>IFERROR(VLOOKUP($AK$3,'Summary Data'!#REF!,13,0),"")</f>
        <v/>
      </c>
      <c r="O18" s="218" t="e">
        <f>N18*35%</f>
        <v>#VALUE!</v>
      </c>
      <c r="P18" s="233">
        <v>35</v>
      </c>
      <c r="Q18" s="163">
        <f t="shared" si="0"/>
        <v>6326.150774833558</v>
      </c>
      <c r="R18" s="163">
        <f t="shared" si="1"/>
        <v>202.38784014649778</v>
      </c>
      <c r="S18" s="163">
        <f t="shared" si="7"/>
        <v>6528.5386149800561</v>
      </c>
      <c r="T18" s="163">
        <f t="shared" si="2"/>
        <v>9335.0273373039217</v>
      </c>
      <c r="U18" s="164">
        <f t="shared" si="3"/>
        <v>0</v>
      </c>
      <c r="V18" s="163">
        <f t="shared" si="4"/>
        <v>16181.850263445298</v>
      </c>
      <c r="W18" s="163">
        <f t="shared" si="8"/>
        <v>32045.416215729274</v>
      </c>
      <c r="X18" s="165" t="e">
        <f t="shared" si="5"/>
        <v>#VALUE!</v>
      </c>
      <c r="Y18" s="166" t="e">
        <f>X18*35%</f>
        <v>#VALUE!</v>
      </c>
      <c r="Z18" s="165">
        <f t="shared" si="10"/>
        <v>78990.541633784815</v>
      </c>
      <c r="AA18" s="165">
        <f t="shared" si="22"/>
        <v>2527.0856927503969</v>
      </c>
      <c r="AB18" s="165">
        <f t="shared" si="11"/>
        <v>110226.09556705609</v>
      </c>
      <c r="AC18" s="165">
        <f t="shared" si="12"/>
        <v>0</v>
      </c>
      <c r="AD18" s="165">
        <f t="shared" si="13"/>
        <v>191071.98181012057</v>
      </c>
      <c r="AE18" s="165">
        <f t="shared" si="6"/>
        <v>191287.14392386941</v>
      </c>
      <c r="AF18" s="165">
        <f t="shared" si="14"/>
        <v>6267.7898469430884</v>
      </c>
      <c r="AG18" s="165">
        <f t="shared" si="15"/>
        <v>289098.34466012102</v>
      </c>
      <c r="AH18" s="165">
        <f t="shared" si="16"/>
        <v>0</v>
      </c>
      <c r="AI18" s="165">
        <f t="shared" si="17"/>
        <v>501138.98499316955</v>
      </c>
      <c r="AJ18" s="165">
        <f>IF('Expenses by Building'!$O$4=B18,'Expenses by Building'!$O$30,0)</f>
        <v>0</v>
      </c>
      <c r="AK18" s="163">
        <f t="shared" si="18"/>
        <v>382815.7047037119</v>
      </c>
      <c r="AL18" s="163">
        <f t="shared" si="19"/>
        <v>987792.26342410303</v>
      </c>
    </row>
    <row r="19" spans="2:38" ht="15.75">
      <c r="B19" s="226" t="s">
        <v>152</v>
      </c>
      <c r="C19" s="290" t="s">
        <v>229</v>
      </c>
      <c r="D19" s="226">
        <v>1994</v>
      </c>
      <c r="E19" s="226">
        <v>2000</v>
      </c>
      <c r="F19" s="235">
        <v>22126</v>
      </c>
      <c r="G19" s="228">
        <v>13727</v>
      </c>
      <c r="H19" s="229">
        <v>0.80610000000000004</v>
      </c>
      <c r="I19" s="230">
        <v>63</v>
      </c>
      <c r="J19" s="230">
        <v>991</v>
      </c>
      <c r="K19" s="231"/>
      <c r="L19" s="231" t="s">
        <v>59</v>
      </c>
      <c r="M19" s="232">
        <f>'FUSION Assessment'!F16</f>
        <v>7182542.1200000001</v>
      </c>
      <c r="N19" s="224" t="str">
        <f>IFERROR(VLOOKUP($AK$3,'Summary Data'!#REF!,14,0),"")</f>
        <v/>
      </c>
      <c r="O19" s="218" t="e">
        <f>N19*35%</f>
        <v>#VALUE!</v>
      </c>
      <c r="P19" s="233">
        <v>35</v>
      </c>
      <c r="Q19" s="163">
        <f t="shared" si="0"/>
        <v>34689.569279793635</v>
      </c>
      <c r="R19" s="163">
        <f t="shared" si="1"/>
        <v>1109.7976086942776</v>
      </c>
      <c r="S19" s="163">
        <f t="shared" si="7"/>
        <v>35799.366888487915</v>
      </c>
      <c r="T19" s="163">
        <f t="shared" si="2"/>
        <v>51188.801701409313</v>
      </c>
      <c r="U19" s="164">
        <f t="shared" si="3"/>
        <v>0</v>
      </c>
      <c r="V19" s="163">
        <f t="shared" si="4"/>
        <v>88733.486723417765</v>
      </c>
      <c r="W19" s="163">
        <f t="shared" si="8"/>
        <v>175721.65531331499</v>
      </c>
      <c r="X19" s="165" t="e">
        <f t="shared" si="5"/>
        <v>#VALUE!</v>
      </c>
      <c r="Y19" s="166" t="e">
        <f>X19*35%</f>
        <v>#VALUE!</v>
      </c>
      <c r="Z19" s="165">
        <f t="shared" si="10"/>
        <v>433146.15221539611</v>
      </c>
      <c r="AA19" s="165">
        <f t="shared" si="22"/>
        <v>13857.32293377826</v>
      </c>
      <c r="AB19" s="165">
        <f t="shared" si="11"/>
        <v>604426.91214787692</v>
      </c>
      <c r="AC19" s="165">
        <f t="shared" si="12"/>
        <v>0</v>
      </c>
      <c r="AD19" s="165">
        <f t="shared" si="13"/>
        <v>1047746.8821637492</v>
      </c>
      <c r="AE19" s="165">
        <f t="shared" si="6"/>
        <v>1048926.7277470969</v>
      </c>
      <c r="AF19" s="165">
        <f t="shared" si="14"/>
        <v>34369.546010771446</v>
      </c>
      <c r="AG19" s="165">
        <f t="shared" si="15"/>
        <v>1585276.3256381257</v>
      </c>
      <c r="AH19" s="165">
        <f t="shared" si="16"/>
        <v>0</v>
      </c>
      <c r="AI19" s="165">
        <f t="shared" si="17"/>
        <v>2748005.2495561019</v>
      </c>
      <c r="AJ19" s="165">
        <f>IF('Expenses by Building'!$O$4=B19,'Expenses by Building'!$O$30,0)</f>
        <v>0</v>
      </c>
      <c r="AK19" s="163">
        <f t="shared" si="18"/>
        <v>2099177.2694608006</v>
      </c>
      <c r="AL19" s="163">
        <f t="shared" si="19"/>
        <v>5416577.848952096</v>
      </c>
    </row>
    <row r="20" spans="2:38">
      <c r="B20" s="238"/>
      <c r="C20" s="238"/>
      <c r="D20" s="238"/>
      <c r="E20" s="239"/>
      <c r="F20" s="240">
        <f>SUM(F7:F19)</f>
        <v>421768</v>
      </c>
      <c r="G20" s="240">
        <f>SUM(G7:G19)</f>
        <v>299670</v>
      </c>
      <c r="H20" s="240"/>
      <c r="I20" s="241"/>
      <c r="J20" s="241"/>
      <c r="K20" s="241"/>
      <c r="L20" s="241"/>
      <c r="M20" s="241"/>
      <c r="N20" s="167"/>
      <c r="O20" s="167"/>
      <c r="P20" s="167"/>
      <c r="Q20" s="239"/>
      <c r="R20" s="167"/>
      <c r="S20" s="167"/>
      <c r="T20" s="167"/>
      <c r="U20" s="416" t="s">
        <v>72</v>
      </c>
      <c r="V20" s="416"/>
      <c r="W20" s="168">
        <f>SUM(W7:W19)</f>
        <v>3349623.5703781173</v>
      </c>
      <c r="X20" s="169">
        <f>N20*((1+5%)/1)^(50*1)</f>
        <v>0</v>
      </c>
      <c r="Y20" s="169">
        <f t="shared" si="9"/>
        <v>0</v>
      </c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70">
        <f>SUM(AK7:AK19)</f>
        <v>40014724.694293715</v>
      </c>
      <c r="AL20" s="170">
        <f>SUM(AL7:AL19)</f>
        <v>103251342.5922818</v>
      </c>
    </row>
    <row r="21" spans="2:38" ht="15.75" thickBot="1">
      <c r="E21" s="26"/>
    </row>
    <row r="22" spans="2:38" ht="31.5" customHeight="1">
      <c r="B22" s="256" t="s">
        <v>266</v>
      </c>
      <c r="C22" s="257"/>
      <c r="D22" s="258"/>
      <c r="E22" s="259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1"/>
    </row>
    <row r="23" spans="2:38">
      <c r="B23" s="392" t="s">
        <v>189</v>
      </c>
      <c r="C23" s="393"/>
      <c r="D23" s="264"/>
      <c r="E23" s="265"/>
      <c r="F23" s="264"/>
      <c r="G23" s="264"/>
      <c r="H23" s="422" t="s">
        <v>180</v>
      </c>
      <c r="I23" s="422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7"/>
    </row>
    <row r="24" spans="2:38">
      <c r="B24" s="262" t="s">
        <v>267</v>
      </c>
      <c r="C24" s="263"/>
      <c r="D24" s="264"/>
      <c r="E24" s="263"/>
      <c r="F24" s="263"/>
      <c r="G24" s="268"/>
      <c r="H24" s="420">
        <f>'Summary Data'!$F$35</f>
        <v>1.5678192750516873</v>
      </c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266"/>
      <c r="U24" s="266"/>
      <c r="V24" s="266"/>
      <c r="W24" s="266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6"/>
      <c r="AL24" s="267"/>
    </row>
    <row r="25" spans="2:38">
      <c r="B25" s="262" t="s">
        <v>268</v>
      </c>
      <c r="C25" s="263"/>
      <c r="D25" s="263"/>
      <c r="E25" s="264"/>
      <c r="F25" s="268"/>
      <c r="G25" s="268"/>
      <c r="H25" s="420">
        <f>'Summary Data'!$E$29</f>
        <v>5.0158076864063886E-2</v>
      </c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7"/>
    </row>
    <row r="26" spans="2:38" ht="33.75" customHeight="1">
      <c r="B26" s="394" t="s">
        <v>269</v>
      </c>
      <c r="C26" s="395"/>
      <c r="D26" s="395"/>
      <c r="E26" s="395"/>
      <c r="F26" s="395"/>
      <c r="G26" s="395"/>
      <c r="H26" s="420">
        <f>'Summary Data'!$E$38</f>
        <v>2.3135135904098938</v>
      </c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7"/>
    </row>
    <row r="27" spans="2:38" ht="16.5" customHeight="1">
      <c r="B27" s="270" t="s">
        <v>270</v>
      </c>
      <c r="C27" s="264"/>
      <c r="D27" s="264"/>
      <c r="E27" s="264"/>
      <c r="F27" s="264"/>
      <c r="G27" s="264"/>
      <c r="H27" s="420">
        <f>'Summary Data'!$E$41</f>
        <v>0</v>
      </c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271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7"/>
    </row>
    <row r="28" spans="2:38" ht="30.75" customHeight="1" thickBot="1">
      <c r="B28" s="396" t="s">
        <v>271</v>
      </c>
      <c r="C28" s="397"/>
      <c r="D28" s="397"/>
      <c r="E28" s="397"/>
      <c r="F28" s="397"/>
      <c r="G28" s="397"/>
      <c r="H28" s="421">
        <f>'Summary Data'!$H$26</f>
        <v>4.0103718125019325</v>
      </c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272"/>
      <c r="U28" s="272"/>
      <c r="V28" s="272"/>
      <c r="W28" s="273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4"/>
    </row>
    <row r="29" spans="2:38" ht="15.75" thickBot="1">
      <c r="B29" s="417" t="s">
        <v>73</v>
      </c>
      <c r="C29" s="418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</row>
    <row r="30" spans="2:38" ht="15.75" hidden="1" thickBot="1">
      <c r="B30" s="411" t="s">
        <v>129</v>
      </c>
      <c r="C30" s="412"/>
      <c r="D30" s="412"/>
      <c r="E30" s="412"/>
      <c r="F30" s="412"/>
      <c r="G30" s="412"/>
      <c r="H30" s="413"/>
      <c r="J30" s="408" t="s">
        <v>98</v>
      </c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10"/>
    </row>
    <row r="31" spans="2:38">
      <c r="B31" s="308" t="s">
        <v>278</v>
      </c>
      <c r="C31" s="308"/>
      <c r="D31" s="308"/>
      <c r="E31" s="308"/>
      <c r="F31" s="308"/>
    </row>
  </sheetData>
  <sheetProtection algorithmName="SHA-512" hashValue="mWRudhK9E4t1bhSlgxCpdmSbiylUsk8NKP/ow336nszQEm4rCf0NWpqx9vYu1aLF6wb7EMJVu8+LN+0nbQgOiQ==" saltValue="tEgE6Qi1mE+Tz/pwm+s8jA==" spinCount="100000" sheet="1" objects="1" scenarios="1"/>
  <mergeCells count="19">
    <mergeCell ref="B2:AL2"/>
    <mergeCell ref="AK3:AL3"/>
    <mergeCell ref="J30:W30"/>
    <mergeCell ref="B30:H30"/>
    <mergeCell ref="N6:O6"/>
    <mergeCell ref="U20:V20"/>
    <mergeCell ref="B29:C29"/>
    <mergeCell ref="J29:W29"/>
    <mergeCell ref="H24:S24"/>
    <mergeCell ref="H25:S25"/>
    <mergeCell ref="H26:S26"/>
    <mergeCell ref="H27:S27"/>
    <mergeCell ref="H28:S28"/>
    <mergeCell ref="H23:S23"/>
    <mergeCell ref="B23:C23"/>
    <mergeCell ref="B26:G26"/>
    <mergeCell ref="B28:G28"/>
    <mergeCell ref="B3:H3"/>
    <mergeCell ref="P6:AL6"/>
  </mergeCells>
  <pageMargins left="0.25" right="0.25" top="0.75" bottom="0.75" header="0.3" footer="0.3"/>
  <pageSetup paperSize="3" fitToWidth="0" orientation="landscape" r:id="rId1"/>
  <ignoredErrors>
    <ignoredError sqref="O15:O16 O1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DAA8-5CE2-4900-A5C3-2BA89D6867A9}">
  <sheetPr>
    <pageSetUpPr fitToPage="1"/>
  </sheetPr>
  <dimension ref="B1:G18"/>
  <sheetViews>
    <sheetView tabSelected="1" zoomScaleNormal="100" workbookViewId="0">
      <selection activeCell="C22" sqref="C22"/>
    </sheetView>
  </sheetViews>
  <sheetFormatPr defaultRowHeight="15"/>
  <cols>
    <col min="3" max="3" width="53.140625" customWidth="1"/>
    <col min="4" max="4" width="10.28515625" customWidth="1"/>
    <col min="5" max="6" width="18.7109375" customWidth="1"/>
  </cols>
  <sheetData>
    <row r="1" spans="2:7" ht="54.75" customHeight="1">
      <c r="B1" s="424" t="s">
        <v>102</v>
      </c>
      <c r="C1" s="424"/>
      <c r="D1" s="424"/>
      <c r="E1" s="424"/>
      <c r="F1" s="424"/>
      <c r="G1" s="424"/>
    </row>
    <row r="2" spans="2:7" ht="15" customHeight="1">
      <c r="B2" s="292" t="s">
        <v>116</v>
      </c>
      <c r="C2" s="423" t="s">
        <v>230</v>
      </c>
      <c r="D2" s="423"/>
      <c r="E2" s="423"/>
      <c r="F2" s="423"/>
      <c r="G2" s="423"/>
    </row>
    <row r="3" spans="2:7">
      <c r="B3" s="293" t="s">
        <v>41</v>
      </c>
      <c r="C3" s="294" t="s">
        <v>115</v>
      </c>
      <c r="D3" s="295" t="s">
        <v>188</v>
      </c>
      <c r="E3" s="248" t="s">
        <v>99</v>
      </c>
      <c r="F3" s="248" t="s">
        <v>100</v>
      </c>
      <c r="G3" s="248" t="s">
        <v>101</v>
      </c>
    </row>
    <row r="4" spans="2:7">
      <c r="B4" s="226" t="s">
        <v>59</v>
      </c>
      <c r="C4" s="290" t="s">
        <v>216</v>
      </c>
      <c r="D4" s="217">
        <v>1980</v>
      </c>
      <c r="E4" s="296">
        <v>6435039.6100000003</v>
      </c>
      <c r="F4" s="296">
        <v>10833109.92</v>
      </c>
      <c r="G4" s="297">
        <f>SUM(E4/F4)</f>
        <v>0.59401590656065273</v>
      </c>
    </row>
    <row r="5" spans="2:7">
      <c r="B5" s="226" t="s">
        <v>60</v>
      </c>
      <c r="C5" s="290" t="s">
        <v>217</v>
      </c>
      <c r="D5" s="226">
        <v>1980</v>
      </c>
      <c r="E5" s="296">
        <v>6203156.1799999997</v>
      </c>
      <c r="F5" s="296">
        <v>10463339.52</v>
      </c>
      <c r="G5" s="297">
        <f t="shared" ref="G5:G16" si="0">SUM(E5/F5)</f>
        <v>0.59284668801419149</v>
      </c>
    </row>
    <row r="6" spans="2:7">
      <c r="B6" s="226" t="s">
        <v>61</v>
      </c>
      <c r="C6" s="290" t="s">
        <v>218</v>
      </c>
      <c r="D6" s="226">
        <v>1991</v>
      </c>
      <c r="E6" s="296">
        <v>501552.09</v>
      </c>
      <c r="F6" s="296">
        <v>2864095.74</v>
      </c>
      <c r="G6" s="297">
        <f t="shared" si="0"/>
        <v>0.17511708250367355</v>
      </c>
    </row>
    <row r="7" spans="2:7">
      <c r="B7" s="226" t="s">
        <v>62</v>
      </c>
      <c r="C7" s="290" t="s">
        <v>219</v>
      </c>
      <c r="D7" s="226">
        <v>1991</v>
      </c>
      <c r="E7" s="296">
        <v>3374094.32</v>
      </c>
      <c r="F7" s="296">
        <v>20503733.800000001</v>
      </c>
      <c r="G7" s="297">
        <f t="shared" si="0"/>
        <v>0.16455999443379429</v>
      </c>
    </row>
    <row r="8" spans="2:7">
      <c r="B8" s="226" t="s">
        <v>31</v>
      </c>
      <c r="C8" s="290" t="s">
        <v>220</v>
      </c>
      <c r="D8" s="226">
        <v>2004</v>
      </c>
      <c r="E8" s="296">
        <v>0</v>
      </c>
      <c r="F8" s="296">
        <v>17225254.079999998</v>
      </c>
      <c r="G8" s="297">
        <f t="shared" si="0"/>
        <v>0</v>
      </c>
    </row>
    <row r="9" spans="2:7">
      <c r="B9" s="226" t="s">
        <v>63</v>
      </c>
      <c r="C9" s="290" t="s">
        <v>221</v>
      </c>
      <c r="D9" s="226">
        <v>2013</v>
      </c>
      <c r="E9" s="296">
        <v>0</v>
      </c>
      <c r="F9" s="296">
        <v>31205210.399999999</v>
      </c>
      <c r="G9" s="297">
        <f t="shared" si="0"/>
        <v>0</v>
      </c>
    </row>
    <row r="10" spans="2:7">
      <c r="B10" s="226" t="s">
        <v>65</v>
      </c>
      <c r="C10" s="290" t="s">
        <v>222</v>
      </c>
      <c r="D10" s="226">
        <v>2014</v>
      </c>
      <c r="E10" s="296">
        <v>0</v>
      </c>
      <c r="F10" s="296">
        <v>45358967.520000003</v>
      </c>
      <c r="G10" s="297">
        <f t="shared" si="0"/>
        <v>0</v>
      </c>
    </row>
    <row r="11" spans="2:7">
      <c r="B11" s="226" t="s">
        <v>67</v>
      </c>
      <c r="C11" s="290" t="s">
        <v>223</v>
      </c>
      <c r="D11" s="226">
        <v>2006</v>
      </c>
      <c r="E11" s="298">
        <v>0</v>
      </c>
      <c r="F11" s="296">
        <v>21836073</v>
      </c>
      <c r="G11" s="297">
        <f t="shared" si="0"/>
        <v>0</v>
      </c>
    </row>
    <row r="12" spans="2:7">
      <c r="B12" s="226" t="s">
        <v>68</v>
      </c>
      <c r="C12" s="290" t="s">
        <v>225</v>
      </c>
      <c r="D12" s="226">
        <v>2014</v>
      </c>
      <c r="E12" s="298">
        <v>0</v>
      </c>
      <c r="F12" s="296">
        <v>7332113.1600000001</v>
      </c>
      <c r="G12" s="297">
        <f t="shared" si="0"/>
        <v>0</v>
      </c>
    </row>
    <row r="13" spans="2:7">
      <c r="B13" s="226" t="s">
        <v>69</v>
      </c>
      <c r="C13" s="291" t="s">
        <v>226</v>
      </c>
      <c r="D13" s="226">
        <v>2020</v>
      </c>
      <c r="E13" s="298">
        <v>0</v>
      </c>
      <c r="F13" s="299">
        <v>1583329.71</v>
      </c>
      <c r="G13" s="297">
        <f t="shared" si="0"/>
        <v>0</v>
      </c>
    </row>
    <row r="14" spans="2:7" ht="15.75">
      <c r="B14" s="233" t="s">
        <v>70</v>
      </c>
      <c r="C14" s="290" t="s">
        <v>227</v>
      </c>
      <c r="D14" s="226">
        <v>2010</v>
      </c>
      <c r="E14" s="300">
        <v>0</v>
      </c>
      <c r="F14" s="296">
        <v>30139232.760000002</v>
      </c>
      <c r="G14" s="297">
        <f t="shared" si="0"/>
        <v>0</v>
      </c>
    </row>
    <row r="15" spans="2:7">
      <c r="B15" s="226" t="s">
        <v>71</v>
      </c>
      <c r="C15" s="290" t="s">
        <v>228</v>
      </c>
      <c r="D15" s="226">
        <v>1980</v>
      </c>
      <c r="E15" s="296">
        <v>1364324.8</v>
      </c>
      <c r="F15" s="296">
        <v>1309841.7</v>
      </c>
      <c r="G15" s="297">
        <f t="shared" si="0"/>
        <v>1.0415951790204878</v>
      </c>
    </row>
    <row r="16" spans="2:7">
      <c r="B16" s="237" t="s">
        <v>152</v>
      </c>
      <c r="C16" s="290" t="s">
        <v>229</v>
      </c>
      <c r="D16" s="226">
        <v>1994</v>
      </c>
      <c r="E16" s="296">
        <v>2517513.0299999998</v>
      </c>
      <c r="F16" s="296">
        <v>7182542.1200000001</v>
      </c>
      <c r="G16" s="297">
        <f t="shared" si="0"/>
        <v>0.35050445760560328</v>
      </c>
    </row>
    <row r="17" spans="2:7">
      <c r="B17" s="425" t="s">
        <v>194</v>
      </c>
      <c r="C17" s="425"/>
      <c r="D17" s="425"/>
      <c r="E17" s="425"/>
      <c r="F17" s="425"/>
      <c r="G17" s="425"/>
    </row>
    <row r="18" spans="2:7" ht="15" customHeight="1">
      <c r="B18" s="426" t="s">
        <v>279</v>
      </c>
      <c r="C18" s="426"/>
      <c r="D18" s="426"/>
      <c r="E18" s="426"/>
      <c r="F18" s="27"/>
      <c r="G18" s="27"/>
    </row>
  </sheetData>
  <sheetProtection algorithmName="SHA-512" hashValue="0sXBMYmb/BzkCBKVPmB4a0219fqtCNsdZ2XGZMHTNieMeHXjgHkQVVxrpbDg2za1wti4cKE7rqxlmg2SAVv1Tg==" saltValue="gLZOJv+RUEla4gvlQKgmSA==" spinCount="100000" sheet="1" objects="1" scenarios="1"/>
  <mergeCells count="4">
    <mergeCell ref="C2:G2"/>
    <mergeCell ref="B1:G1"/>
    <mergeCell ref="B17:G17"/>
    <mergeCell ref="B18:E18"/>
  </mergeCells>
  <pageMargins left="0.25" right="0.25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F2AD478B3EA840BA4F1FA2E858E2BD" ma:contentTypeVersion="2" ma:contentTypeDescription="Create a new document." ma:contentTypeScope="" ma:versionID="34772a5963c5562ab581fc9c27f31549">
  <xsd:schema xmlns:xsd="http://www.w3.org/2001/XMLSchema" xmlns:xs="http://www.w3.org/2001/XMLSchema" xmlns:p="http://schemas.microsoft.com/office/2006/metadata/properties" xmlns:ns1="http://schemas.microsoft.com/sharepoint/v3" xmlns:ns2="d6e866e8-7e90-4abe-a382-bf774f596087" targetNamespace="http://schemas.microsoft.com/office/2006/metadata/properties" ma:root="true" ma:fieldsID="f2fd6c16b90bde1758a258c96b65d67a" ns1:_="" ns2:_="">
    <xsd:import namespace="http://schemas.microsoft.com/sharepoint/v3"/>
    <xsd:import namespace="d6e866e8-7e90-4abe-a382-bf774f5960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866e8-7e90-4abe-a382-bf774f596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28D8A0-5595-4538-B42E-53F2C9CC43AA}"/>
</file>

<file path=customXml/itemProps2.xml><?xml version="1.0" encoding="utf-8"?>
<ds:datastoreItem xmlns:ds="http://schemas.openxmlformats.org/officeDocument/2006/customXml" ds:itemID="{0A2E1B60-C3DA-44ED-9878-949DB2BE33B1}"/>
</file>

<file path=customXml/itemProps3.xml><?xml version="1.0" encoding="utf-8"?>
<ds:datastoreItem xmlns:ds="http://schemas.openxmlformats.org/officeDocument/2006/customXml" ds:itemID="{36CB2EDC-B539-4F77-89DA-07113E36A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Data</vt:lpstr>
      <vt:lpstr>Staffing Expenses </vt:lpstr>
      <vt:lpstr>Expenses by Building</vt:lpstr>
      <vt:lpstr>Campuswide Expenses</vt:lpstr>
      <vt:lpstr>FUSION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Alanis, Ellen</dc:creator>
  <cp:lastModifiedBy>Alanis, Ellen</cp:lastModifiedBy>
  <cp:lastPrinted>2023-11-17T00:19:43Z</cp:lastPrinted>
  <dcterms:created xsi:type="dcterms:W3CDTF">2022-10-21T16:37:19Z</dcterms:created>
  <dcterms:modified xsi:type="dcterms:W3CDTF">2024-01-25T16:40:50Z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0x01010078F2AD478B3EA840BA4F1FA2E858E2BD</vt:lpwstr>
  </property>
</Properties>
</file>